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ecpnet\dfs\Users\PLA\BKPPLA\Planejamento\PO\PO 2024\SITE\Anexo E\Alteração Resolução Conselho\"/>
    </mc:Choice>
  </mc:AlternateContent>
  <bookViews>
    <workbookView xWindow="0" yWindow="0" windowWidth="28800" windowHeight="12312" activeTab="1"/>
  </bookViews>
  <sheets>
    <sheet name="Resumo geral e gráfico" sheetId="4" r:id="rId1"/>
    <sheet name="Detalhado" sheetId="3" r:id="rId2"/>
  </sheets>
  <definedNames>
    <definedName name="_xlnm.Print_Titles" localSheetId="1">Detalhado!$3:$5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3" l="1"/>
  <c r="D189" i="3" l="1"/>
  <c r="D192" i="3" s="1"/>
  <c r="D174" i="3" l="1"/>
  <c r="D171" i="3"/>
  <c r="K160" i="3"/>
  <c r="D143" i="3"/>
  <c r="D140" i="3"/>
  <c r="K174" i="3" l="1"/>
  <c r="D43" i="3" l="1"/>
  <c r="D36" i="3"/>
  <c r="D134" i="3" l="1"/>
  <c r="D71" i="3"/>
  <c r="F71" i="3"/>
  <c r="G71" i="3"/>
  <c r="J124" i="3" l="1"/>
  <c r="K124" i="3"/>
  <c r="I71" i="3"/>
  <c r="K171" i="3" l="1"/>
  <c r="J171" i="3"/>
  <c r="I171" i="3"/>
  <c r="H171" i="3"/>
  <c r="G171" i="3"/>
  <c r="F171" i="3"/>
  <c r="E171" i="3"/>
  <c r="K153" i="3"/>
  <c r="J153" i="3"/>
  <c r="I153" i="3"/>
  <c r="H153" i="3"/>
  <c r="G153" i="3"/>
  <c r="F153" i="3"/>
  <c r="E153" i="3"/>
  <c r="D153" i="3"/>
  <c r="I124" i="3"/>
  <c r="H124" i="3"/>
  <c r="G124" i="3"/>
  <c r="F124" i="3"/>
  <c r="E124" i="3"/>
  <c r="D124" i="3"/>
  <c r="K110" i="3"/>
  <c r="J110" i="3"/>
  <c r="I110" i="3"/>
  <c r="H110" i="3"/>
  <c r="G110" i="3"/>
  <c r="F110" i="3"/>
  <c r="E110" i="3"/>
  <c r="D110" i="3"/>
  <c r="K92" i="3"/>
  <c r="K94" i="3" s="1"/>
  <c r="J92" i="3"/>
  <c r="J94" i="3" s="1"/>
  <c r="I92" i="3"/>
  <c r="I94" i="3" s="1"/>
  <c r="H92" i="3"/>
  <c r="H94" i="3" s="1"/>
  <c r="G92" i="3"/>
  <c r="G94" i="3" s="1"/>
  <c r="F92" i="3"/>
  <c r="F94" i="3" s="1"/>
  <c r="E92" i="3"/>
  <c r="E94" i="3" s="1"/>
  <c r="D92" i="3"/>
  <c r="D94" i="3" s="1"/>
  <c r="K84" i="3"/>
  <c r="J84" i="3"/>
  <c r="I84" i="3"/>
  <c r="H84" i="3"/>
  <c r="G84" i="3"/>
  <c r="F84" i="3"/>
  <c r="E84" i="3"/>
  <c r="D84" i="3"/>
  <c r="K71" i="3"/>
  <c r="J71" i="3"/>
  <c r="H71" i="3"/>
  <c r="E71" i="3"/>
  <c r="J174" i="3"/>
  <c r="I174" i="3"/>
  <c r="H174" i="3"/>
  <c r="G174" i="3"/>
  <c r="F174" i="3"/>
  <c r="E174" i="3"/>
  <c r="D44" i="3" l="1"/>
  <c r="E13" i="3" l="1"/>
  <c r="F13" i="3"/>
  <c r="E81" i="3"/>
  <c r="F81" i="3"/>
  <c r="G81" i="3"/>
  <c r="H81" i="3"/>
  <c r="I81" i="3"/>
  <c r="J81" i="3"/>
  <c r="K81" i="3"/>
  <c r="E78" i="3"/>
  <c r="F78" i="3"/>
  <c r="G78" i="3"/>
  <c r="H78" i="3"/>
  <c r="I78" i="3"/>
  <c r="J78" i="3"/>
  <c r="K78" i="3"/>
  <c r="E63" i="3"/>
  <c r="F63" i="3"/>
  <c r="G63" i="3"/>
  <c r="H63" i="3"/>
  <c r="I63" i="3"/>
  <c r="J63" i="3"/>
  <c r="K63" i="3"/>
  <c r="E60" i="3"/>
  <c r="F60" i="3"/>
  <c r="G60" i="3"/>
  <c r="H60" i="3"/>
  <c r="I60" i="3"/>
  <c r="J60" i="3"/>
  <c r="K60" i="3"/>
  <c r="E36" i="3"/>
  <c r="F36" i="3"/>
  <c r="G36" i="3"/>
  <c r="H36" i="3"/>
  <c r="I36" i="3"/>
  <c r="J36" i="3"/>
  <c r="K36" i="3"/>
  <c r="E53" i="3"/>
  <c r="F53" i="3"/>
  <c r="G53" i="3"/>
  <c r="H53" i="3"/>
  <c r="I53" i="3"/>
  <c r="J53" i="3"/>
  <c r="K53" i="3"/>
  <c r="G13" i="3"/>
  <c r="H13" i="3"/>
  <c r="I13" i="3"/>
  <c r="J13" i="3"/>
  <c r="K13" i="3"/>
  <c r="J131" i="3"/>
  <c r="D131" i="3"/>
  <c r="K131" i="3"/>
  <c r="I131" i="3"/>
  <c r="H131" i="3"/>
  <c r="G131" i="3"/>
  <c r="F131" i="3"/>
  <c r="E131" i="3"/>
  <c r="K22" i="3" l="1"/>
  <c r="K20" i="3" s="1"/>
  <c r="J7" i="4" s="1"/>
  <c r="J31" i="4" s="1"/>
  <c r="E85" i="3"/>
  <c r="G154" i="3"/>
  <c r="F21" i="4" s="1"/>
  <c r="F45" i="4" s="1"/>
  <c r="I154" i="3"/>
  <c r="I155" i="3" s="1"/>
  <c r="H154" i="3"/>
  <c r="H155" i="3" s="1"/>
  <c r="F154" i="3"/>
  <c r="F155" i="3" s="1"/>
  <c r="J154" i="3"/>
  <c r="J155" i="3" s="1"/>
  <c r="E154" i="3"/>
  <c r="E155" i="3" s="1"/>
  <c r="K154" i="3"/>
  <c r="J21" i="4" s="1"/>
  <c r="J45" i="4" s="1"/>
  <c r="K195" i="3"/>
  <c r="K196" i="3" s="1"/>
  <c r="K111" i="3"/>
  <c r="H85" i="3"/>
  <c r="G72" i="3"/>
  <c r="G111" i="3"/>
  <c r="I72" i="3"/>
  <c r="I111" i="3"/>
  <c r="F72" i="3"/>
  <c r="F111" i="3"/>
  <c r="H72" i="3"/>
  <c r="H111" i="3"/>
  <c r="J72" i="3"/>
  <c r="J111" i="3"/>
  <c r="E72" i="3"/>
  <c r="E111" i="3"/>
  <c r="I85" i="3"/>
  <c r="G85" i="3"/>
  <c r="F85" i="3"/>
  <c r="K72" i="3"/>
  <c r="K104" i="3"/>
  <c r="K105" i="3" s="1"/>
  <c r="K85" i="3"/>
  <c r="J85" i="3"/>
  <c r="K54" i="3"/>
  <c r="K55" i="3" s="1"/>
  <c r="D4" i="4"/>
  <c r="G195" i="3"/>
  <c r="G196" i="3" s="1"/>
  <c r="F195" i="3"/>
  <c r="F196" i="3" s="1"/>
  <c r="J4" i="4"/>
  <c r="H195" i="3"/>
  <c r="H196" i="3" s="1"/>
  <c r="H22" i="3"/>
  <c r="H23" i="3" s="1"/>
  <c r="J195" i="3"/>
  <c r="J196" i="3" s="1"/>
  <c r="F4" i="4"/>
  <c r="E4" i="4"/>
  <c r="I195" i="3"/>
  <c r="I196" i="3" s="1"/>
  <c r="H64" i="3"/>
  <c r="G64" i="3"/>
  <c r="H4" i="4"/>
  <c r="I64" i="3"/>
  <c r="G4" i="4"/>
  <c r="I4" i="4"/>
  <c r="E64" i="3"/>
  <c r="F64" i="3"/>
  <c r="J64" i="3"/>
  <c r="K64" i="3"/>
  <c r="E195" i="3"/>
  <c r="E196" i="3" s="1"/>
  <c r="K189" i="3"/>
  <c r="K192" i="3" s="1"/>
  <c r="J189" i="3"/>
  <c r="J192" i="3" s="1"/>
  <c r="I189" i="3"/>
  <c r="I192" i="3" s="1"/>
  <c r="H189" i="3"/>
  <c r="H192" i="3" s="1"/>
  <c r="G189" i="3"/>
  <c r="G192" i="3" s="1"/>
  <c r="F189" i="3"/>
  <c r="F192" i="3" s="1"/>
  <c r="E189" i="3"/>
  <c r="E192" i="3" s="1"/>
  <c r="H21" i="4" l="1"/>
  <c r="H45" i="4" s="1"/>
  <c r="I21" i="4"/>
  <c r="I45" i="4" s="1"/>
  <c r="G21" i="4"/>
  <c r="G45" i="4" s="1"/>
  <c r="G155" i="3"/>
  <c r="K155" i="3"/>
  <c r="D21" i="4"/>
  <c r="D45" i="4" s="1"/>
  <c r="E21" i="4"/>
  <c r="E45" i="4" s="1"/>
  <c r="H73" i="3"/>
  <c r="G12" i="4"/>
  <c r="G36" i="4" s="1"/>
  <c r="F112" i="3"/>
  <c r="E16" i="4"/>
  <c r="E40" i="4" s="1"/>
  <c r="F73" i="3"/>
  <c r="E12" i="4"/>
  <c r="E36" i="4" s="1"/>
  <c r="E112" i="3"/>
  <c r="D16" i="4"/>
  <c r="D40" i="4" s="1"/>
  <c r="I112" i="3"/>
  <c r="H16" i="4"/>
  <c r="H40" i="4" s="1"/>
  <c r="K112" i="3"/>
  <c r="J16" i="4"/>
  <c r="J40" i="4" s="1"/>
  <c r="E73" i="3"/>
  <c r="D12" i="4"/>
  <c r="D36" i="4" s="1"/>
  <c r="I73" i="3"/>
  <c r="H12" i="4"/>
  <c r="H36" i="4" s="1"/>
  <c r="J112" i="3"/>
  <c r="I16" i="4"/>
  <c r="I40" i="4" s="1"/>
  <c r="G112" i="3"/>
  <c r="F16" i="4"/>
  <c r="F40" i="4" s="1"/>
  <c r="J73" i="3"/>
  <c r="I12" i="4"/>
  <c r="I36" i="4" s="1"/>
  <c r="G73" i="3"/>
  <c r="F12" i="4"/>
  <c r="F36" i="4" s="1"/>
  <c r="K73" i="3"/>
  <c r="J12" i="4"/>
  <c r="J36" i="4" s="1"/>
  <c r="H112" i="3"/>
  <c r="G16" i="4"/>
  <c r="G40" i="4" s="1"/>
  <c r="H193" i="3"/>
  <c r="H194" i="3" s="1"/>
  <c r="F193" i="3"/>
  <c r="F194" i="3" s="1"/>
  <c r="J193" i="3"/>
  <c r="J194" i="3" s="1"/>
  <c r="G193" i="3"/>
  <c r="G194" i="3" s="1"/>
  <c r="I193" i="3"/>
  <c r="H24" i="4" s="1"/>
  <c r="H55" i="4" s="1"/>
  <c r="K193" i="3"/>
  <c r="K194" i="3" s="1"/>
  <c r="E193" i="3"/>
  <c r="K177" i="3"/>
  <c r="K180" i="3" s="1"/>
  <c r="J177" i="3"/>
  <c r="J180" i="3" s="1"/>
  <c r="I177" i="3"/>
  <c r="I180" i="3" s="1"/>
  <c r="H177" i="3"/>
  <c r="H180" i="3" s="1"/>
  <c r="G177" i="3"/>
  <c r="G180" i="3" s="1"/>
  <c r="F177" i="3"/>
  <c r="F180" i="3" s="1"/>
  <c r="E177" i="3"/>
  <c r="E180" i="3" s="1"/>
  <c r="D177" i="3"/>
  <c r="D180" i="3" s="1"/>
  <c r="K163" i="3"/>
  <c r="J163" i="3"/>
  <c r="I163" i="3"/>
  <c r="H163" i="3"/>
  <c r="G163" i="3"/>
  <c r="F163" i="3"/>
  <c r="E163" i="3"/>
  <c r="D163" i="3"/>
  <c r="J160" i="3"/>
  <c r="I160" i="3"/>
  <c r="H160" i="3"/>
  <c r="G160" i="3"/>
  <c r="F160" i="3"/>
  <c r="E160" i="3"/>
  <c r="D160" i="3"/>
  <c r="K146" i="3"/>
  <c r="J146" i="3"/>
  <c r="I146" i="3"/>
  <c r="H146" i="3"/>
  <c r="G146" i="3"/>
  <c r="F146" i="3"/>
  <c r="E146" i="3"/>
  <c r="D146" i="3"/>
  <c r="K143" i="3"/>
  <c r="J143" i="3"/>
  <c r="I143" i="3"/>
  <c r="H143" i="3"/>
  <c r="G143" i="3"/>
  <c r="F143" i="3"/>
  <c r="E143" i="3"/>
  <c r="K140" i="3"/>
  <c r="J140" i="3"/>
  <c r="I140" i="3"/>
  <c r="H140" i="3"/>
  <c r="G140" i="3"/>
  <c r="F140" i="3"/>
  <c r="E140" i="3"/>
  <c r="K43" i="3"/>
  <c r="K44" i="3" s="1"/>
  <c r="J43" i="3"/>
  <c r="J44" i="3" s="1"/>
  <c r="I43" i="3"/>
  <c r="I44" i="3" s="1"/>
  <c r="H43" i="3"/>
  <c r="H44" i="3" s="1"/>
  <c r="G43" i="3"/>
  <c r="G44" i="3" s="1"/>
  <c r="F43" i="3"/>
  <c r="F44" i="3" s="1"/>
  <c r="E43" i="3"/>
  <c r="E44" i="3" s="1"/>
  <c r="K117" i="3"/>
  <c r="J117" i="3"/>
  <c r="I117" i="3"/>
  <c r="H117" i="3"/>
  <c r="G117" i="3"/>
  <c r="F117" i="3"/>
  <c r="E117" i="3"/>
  <c r="D117" i="3"/>
  <c r="K147" i="3" l="1"/>
  <c r="K148" i="3" s="1"/>
  <c r="D147" i="3"/>
  <c r="D148" i="3" s="1"/>
  <c r="D111" i="3"/>
  <c r="D154" i="3"/>
  <c r="E147" i="3"/>
  <c r="E148" i="3" s="1"/>
  <c r="F147" i="3"/>
  <c r="F148" i="3" s="1"/>
  <c r="G147" i="3"/>
  <c r="G148" i="3" s="1"/>
  <c r="H147" i="3"/>
  <c r="H148" i="3" s="1"/>
  <c r="I147" i="3"/>
  <c r="I148" i="3" s="1"/>
  <c r="J147" i="3"/>
  <c r="J148" i="3" s="1"/>
  <c r="D72" i="3"/>
  <c r="D104" i="3"/>
  <c r="D105" i="3" s="1"/>
  <c r="G24" i="4"/>
  <c r="G48" i="4" s="1"/>
  <c r="E24" i="4"/>
  <c r="E48" i="4" s="1"/>
  <c r="F24" i="4"/>
  <c r="F48" i="4" s="1"/>
  <c r="I24" i="4"/>
  <c r="J24" i="4"/>
  <c r="J55" i="4" s="1"/>
  <c r="I194" i="3"/>
  <c r="E194" i="3"/>
  <c r="D24" i="4"/>
  <c r="D195" i="3"/>
  <c r="C4" i="4"/>
  <c r="H48" i="4"/>
  <c r="D181" i="3"/>
  <c r="J118" i="3"/>
  <c r="K118" i="3"/>
  <c r="D135" i="3"/>
  <c r="D118" i="3"/>
  <c r="E104" i="3"/>
  <c r="E105" i="3" s="1"/>
  <c r="E134" i="3"/>
  <c r="E135" i="3" s="1"/>
  <c r="E118" i="3"/>
  <c r="J134" i="3"/>
  <c r="J135" i="3" s="1"/>
  <c r="J104" i="3"/>
  <c r="J105" i="3" s="1"/>
  <c r="K134" i="3"/>
  <c r="K135" i="3" s="1"/>
  <c r="F134" i="3"/>
  <c r="F135" i="3" s="1"/>
  <c r="F104" i="3"/>
  <c r="F105" i="3" s="1"/>
  <c r="G104" i="3"/>
  <c r="G105" i="3" s="1"/>
  <c r="G134" i="3"/>
  <c r="G135" i="3" s="1"/>
  <c r="G118" i="3"/>
  <c r="F118" i="3"/>
  <c r="H104" i="3"/>
  <c r="H105" i="3" s="1"/>
  <c r="H134" i="3"/>
  <c r="H135" i="3" s="1"/>
  <c r="H118" i="3"/>
  <c r="I104" i="3"/>
  <c r="I105" i="3" s="1"/>
  <c r="I134" i="3"/>
  <c r="I135" i="3" s="1"/>
  <c r="I118" i="3"/>
  <c r="F47" i="3"/>
  <c r="F48" i="3" s="1"/>
  <c r="H47" i="3"/>
  <c r="H48" i="3" s="1"/>
  <c r="D47" i="3"/>
  <c r="D48" i="3" s="1"/>
  <c r="I47" i="3"/>
  <c r="J47" i="3"/>
  <c r="J48" i="3" s="1"/>
  <c r="E47" i="3"/>
  <c r="E48" i="3" s="1"/>
  <c r="G47" i="3"/>
  <c r="G48" i="3" s="1"/>
  <c r="K47" i="3"/>
  <c r="K48" i="3" s="1"/>
  <c r="G125" i="3"/>
  <c r="F164" i="3"/>
  <c r="F165" i="3" s="1"/>
  <c r="E22" i="4" s="1"/>
  <c r="E46" i="4" s="1"/>
  <c r="G164" i="3"/>
  <c r="G165" i="3" s="1"/>
  <c r="F22" i="4" s="1"/>
  <c r="F46" i="4" s="1"/>
  <c r="H164" i="3"/>
  <c r="H165" i="3" s="1"/>
  <c r="G22" i="4" s="1"/>
  <c r="G46" i="4" s="1"/>
  <c r="D164" i="3"/>
  <c r="D165" i="3" s="1"/>
  <c r="C22" i="4" s="1"/>
  <c r="C46" i="4" s="1"/>
  <c r="I164" i="3"/>
  <c r="I165" i="3" s="1"/>
  <c r="H22" i="4" s="1"/>
  <c r="H46" i="4" s="1"/>
  <c r="J164" i="3"/>
  <c r="J165" i="3" s="1"/>
  <c r="K164" i="3"/>
  <c r="K165" i="3" s="1"/>
  <c r="J22" i="4" s="1"/>
  <c r="J46" i="4" s="1"/>
  <c r="E164" i="3"/>
  <c r="E165" i="3" s="1"/>
  <c r="D125" i="3"/>
  <c r="H125" i="3"/>
  <c r="I125" i="3"/>
  <c r="J125" i="3"/>
  <c r="K125" i="3"/>
  <c r="E125" i="3"/>
  <c r="F125" i="3"/>
  <c r="K101" i="3"/>
  <c r="J101" i="3"/>
  <c r="I101" i="3"/>
  <c r="H101" i="3"/>
  <c r="G101" i="3"/>
  <c r="F101" i="3"/>
  <c r="E101" i="3"/>
  <c r="D101" i="3"/>
  <c r="K95" i="3"/>
  <c r="J95" i="3"/>
  <c r="I95" i="3"/>
  <c r="H95" i="3"/>
  <c r="G95" i="3"/>
  <c r="F95" i="3"/>
  <c r="E95" i="3"/>
  <c r="D95" i="3"/>
  <c r="D81" i="3"/>
  <c r="D78" i="3"/>
  <c r="D63" i="3"/>
  <c r="D60" i="3"/>
  <c r="J54" i="3"/>
  <c r="I54" i="3"/>
  <c r="H54" i="3"/>
  <c r="G54" i="3"/>
  <c r="F54" i="3"/>
  <c r="E54" i="3"/>
  <c r="D53" i="3"/>
  <c r="D54" i="3" s="1"/>
  <c r="H184" i="3" l="1"/>
  <c r="H198" i="3" s="1"/>
  <c r="I48" i="4"/>
  <c r="I55" i="4"/>
  <c r="D73" i="3"/>
  <c r="C12" i="4"/>
  <c r="C36" i="4" s="1"/>
  <c r="D112" i="3"/>
  <c r="C16" i="4"/>
  <c r="C40" i="4" s="1"/>
  <c r="D155" i="3"/>
  <c r="C21" i="4"/>
  <c r="C45" i="4" s="1"/>
  <c r="F55" i="4"/>
  <c r="D85" i="3"/>
  <c r="E55" i="4"/>
  <c r="D196" i="3"/>
  <c r="J181" i="3"/>
  <c r="I23" i="4" s="1"/>
  <c r="I47" i="4" s="1"/>
  <c r="K181" i="3"/>
  <c r="K182" i="3" s="1"/>
  <c r="H181" i="3"/>
  <c r="G23" i="4" s="1"/>
  <c r="G47" i="4" s="1"/>
  <c r="I181" i="3"/>
  <c r="H23" i="4" s="1"/>
  <c r="H47" i="4" s="1"/>
  <c r="G181" i="3"/>
  <c r="F23" i="4" s="1"/>
  <c r="F47" i="4" s="1"/>
  <c r="F181" i="3"/>
  <c r="E23" i="4" s="1"/>
  <c r="E47" i="4" s="1"/>
  <c r="E181" i="3"/>
  <c r="E182" i="3" s="1"/>
  <c r="J48" i="4"/>
  <c r="D193" i="3"/>
  <c r="D194" i="3" s="1"/>
  <c r="H102" i="3"/>
  <c r="G15" i="4" s="1"/>
  <c r="G39" i="4" s="1"/>
  <c r="D96" i="3"/>
  <c r="C14" i="4"/>
  <c r="C38" i="4" s="1"/>
  <c r="F126" i="3"/>
  <c r="E18" i="4"/>
  <c r="E42" i="4" s="1"/>
  <c r="E149" i="3"/>
  <c r="D20" i="4"/>
  <c r="D44" i="4" s="1"/>
  <c r="F119" i="3"/>
  <c r="E17" i="4"/>
  <c r="E41" i="4" s="1"/>
  <c r="E126" i="3"/>
  <c r="D18" i="4"/>
  <c r="D42" i="4" s="1"/>
  <c r="D55" i="3"/>
  <c r="C10" i="4"/>
  <c r="C34" i="4" s="1"/>
  <c r="G96" i="3"/>
  <c r="F14" i="4"/>
  <c r="F38" i="4" s="1"/>
  <c r="E96" i="3"/>
  <c r="D14" i="4"/>
  <c r="D38" i="4" s="1"/>
  <c r="G119" i="3"/>
  <c r="F17" i="4"/>
  <c r="F41" i="4" s="1"/>
  <c r="F96" i="3"/>
  <c r="E14" i="4"/>
  <c r="E38" i="4" s="1"/>
  <c r="E55" i="3"/>
  <c r="D10" i="4"/>
  <c r="D34" i="4" s="1"/>
  <c r="E166" i="3"/>
  <c r="D22" i="4"/>
  <c r="D46" i="4" s="1"/>
  <c r="D126" i="3"/>
  <c r="C18" i="4"/>
  <c r="C42" i="4" s="1"/>
  <c r="F55" i="3"/>
  <c r="E10" i="4"/>
  <c r="E34" i="4" s="1"/>
  <c r="G55" i="3"/>
  <c r="F10" i="4"/>
  <c r="F34" i="4" s="1"/>
  <c r="G149" i="3"/>
  <c r="F20" i="4"/>
  <c r="F44" i="4" s="1"/>
  <c r="E119" i="3"/>
  <c r="D17" i="4"/>
  <c r="D41" i="4" s="1"/>
  <c r="D48" i="4"/>
  <c r="D55" i="4"/>
  <c r="D149" i="3"/>
  <c r="C20" i="4"/>
  <c r="C44" i="4" s="1"/>
  <c r="D119" i="3"/>
  <c r="C17" i="4"/>
  <c r="C41" i="4" s="1"/>
  <c r="F149" i="3"/>
  <c r="E20" i="4"/>
  <c r="E44" i="4" s="1"/>
  <c r="G126" i="3"/>
  <c r="F18" i="4"/>
  <c r="F42" i="4" s="1"/>
  <c r="D182" i="3"/>
  <c r="C23" i="4"/>
  <c r="I55" i="3"/>
  <c r="H10" i="4"/>
  <c r="H34" i="4" s="1"/>
  <c r="K119" i="3"/>
  <c r="J17" i="4"/>
  <c r="J41" i="4" s="1"/>
  <c r="J55" i="3"/>
  <c r="I10" i="4"/>
  <c r="I34" i="4" s="1"/>
  <c r="J166" i="3"/>
  <c r="I22" i="4"/>
  <c r="I46" i="4" s="1"/>
  <c r="J10" i="4"/>
  <c r="J34" i="4" s="1"/>
  <c r="K126" i="3"/>
  <c r="J18" i="4"/>
  <c r="J42" i="4" s="1"/>
  <c r="J126" i="3"/>
  <c r="I18" i="4"/>
  <c r="I42" i="4" s="1"/>
  <c r="J149" i="3"/>
  <c r="I20" i="4"/>
  <c r="I44" i="4" s="1"/>
  <c r="J119" i="3"/>
  <c r="I17" i="4"/>
  <c r="I41" i="4" s="1"/>
  <c r="H96" i="3"/>
  <c r="G14" i="4"/>
  <c r="G38" i="4" s="1"/>
  <c r="I126" i="3"/>
  <c r="H18" i="4"/>
  <c r="H42" i="4" s="1"/>
  <c r="K149" i="3"/>
  <c r="J20" i="4"/>
  <c r="J44" i="4" s="1"/>
  <c r="H119" i="3"/>
  <c r="G17" i="4"/>
  <c r="G41" i="4" s="1"/>
  <c r="I96" i="3"/>
  <c r="H14" i="4"/>
  <c r="H38" i="4" s="1"/>
  <c r="H126" i="3"/>
  <c r="G18" i="4"/>
  <c r="G42" i="4" s="1"/>
  <c r="I149" i="3"/>
  <c r="H20" i="4"/>
  <c r="H44" i="4" s="1"/>
  <c r="I119" i="3"/>
  <c r="H17" i="4"/>
  <c r="H41" i="4" s="1"/>
  <c r="J96" i="3"/>
  <c r="I14" i="4"/>
  <c r="I38" i="4" s="1"/>
  <c r="H55" i="3"/>
  <c r="G10" i="4"/>
  <c r="G34" i="4" s="1"/>
  <c r="K96" i="3"/>
  <c r="J14" i="4"/>
  <c r="J38" i="4" s="1"/>
  <c r="H149" i="3"/>
  <c r="G20" i="4"/>
  <c r="G44" i="4" s="1"/>
  <c r="K102" i="3"/>
  <c r="I166" i="3"/>
  <c r="H166" i="3"/>
  <c r="F166" i="3"/>
  <c r="G166" i="3"/>
  <c r="K166" i="3"/>
  <c r="D166" i="3"/>
  <c r="D45" i="3"/>
  <c r="G132" i="3"/>
  <c r="K132" i="3"/>
  <c r="E132" i="3"/>
  <c r="E102" i="3"/>
  <c r="H45" i="3"/>
  <c r="F45" i="3"/>
  <c r="D102" i="3"/>
  <c r="F132" i="3"/>
  <c r="G102" i="3"/>
  <c r="J132" i="3"/>
  <c r="I132" i="3"/>
  <c r="G45" i="3"/>
  <c r="F65" i="3"/>
  <c r="F102" i="3"/>
  <c r="H132" i="3"/>
  <c r="K65" i="3"/>
  <c r="D64" i="3"/>
  <c r="D65" i="3" s="1"/>
  <c r="E65" i="3"/>
  <c r="G65" i="3"/>
  <c r="H65" i="3"/>
  <c r="I65" i="3"/>
  <c r="I102" i="3"/>
  <c r="D132" i="3"/>
  <c r="J65" i="3"/>
  <c r="J102" i="3"/>
  <c r="I45" i="3"/>
  <c r="I48" i="3"/>
  <c r="E45" i="3"/>
  <c r="K45" i="3"/>
  <c r="J45" i="3"/>
  <c r="H28" i="3"/>
  <c r="H19" i="3"/>
  <c r="H20" i="3" s="1"/>
  <c r="H21" i="3" s="1"/>
  <c r="H199" i="3" l="1"/>
  <c r="H201" i="3" s="1"/>
  <c r="J182" i="3"/>
  <c r="I182" i="3"/>
  <c r="J23" i="4"/>
  <c r="J47" i="4" s="1"/>
  <c r="H182" i="3"/>
  <c r="D23" i="4"/>
  <c r="D47" i="4" s="1"/>
  <c r="F182" i="3"/>
  <c r="G182" i="3"/>
  <c r="C24" i="4"/>
  <c r="C55" i="4" s="1"/>
  <c r="H103" i="3"/>
  <c r="G66" i="3"/>
  <c r="F11" i="4"/>
  <c r="F35" i="4" s="1"/>
  <c r="F66" i="3"/>
  <c r="E11" i="4"/>
  <c r="E35" i="4" s="1"/>
  <c r="F46" i="3"/>
  <c r="E9" i="4"/>
  <c r="E33" i="4" s="1"/>
  <c r="D133" i="3"/>
  <c r="C19" i="4"/>
  <c r="C43" i="4" s="1"/>
  <c r="E66" i="3"/>
  <c r="D11" i="4"/>
  <c r="D35" i="4" s="1"/>
  <c r="F133" i="3"/>
  <c r="E19" i="4"/>
  <c r="E43" i="4" s="1"/>
  <c r="D66" i="3"/>
  <c r="C11" i="4"/>
  <c r="C35" i="4" s="1"/>
  <c r="E103" i="3"/>
  <c r="D15" i="4"/>
  <c r="D39" i="4" s="1"/>
  <c r="G103" i="3"/>
  <c r="F15" i="4"/>
  <c r="F39" i="4" s="1"/>
  <c r="D46" i="3"/>
  <c r="C9" i="4"/>
  <c r="C33" i="4" s="1"/>
  <c r="G46" i="3"/>
  <c r="F9" i="4"/>
  <c r="F33" i="4" s="1"/>
  <c r="E46" i="3"/>
  <c r="D9" i="4"/>
  <c r="D33" i="4" s="1"/>
  <c r="E133" i="3"/>
  <c r="D19" i="4"/>
  <c r="D43" i="4" s="1"/>
  <c r="G133" i="3"/>
  <c r="F19" i="4"/>
  <c r="F43" i="4" s="1"/>
  <c r="F103" i="3"/>
  <c r="E15" i="4"/>
  <c r="E39" i="4" s="1"/>
  <c r="D103" i="3"/>
  <c r="C15" i="4"/>
  <c r="C39" i="4" s="1"/>
  <c r="C47" i="4"/>
  <c r="J66" i="3"/>
  <c r="I11" i="4"/>
  <c r="I35" i="4" s="1"/>
  <c r="K46" i="3"/>
  <c r="J9" i="4"/>
  <c r="J33" i="4" s="1"/>
  <c r="I103" i="3"/>
  <c r="H15" i="4"/>
  <c r="H39" i="4" s="1"/>
  <c r="I133" i="3"/>
  <c r="H19" i="4"/>
  <c r="H43" i="4" s="1"/>
  <c r="J46" i="3"/>
  <c r="I9" i="4"/>
  <c r="I33" i="4" s="1"/>
  <c r="I66" i="3"/>
  <c r="H11" i="4"/>
  <c r="H35" i="4" s="1"/>
  <c r="J133" i="3"/>
  <c r="I19" i="4"/>
  <c r="I43" i="4" s="1"/>
  <c r="G7" i="4"/>
  <c r="I46" i="3"/>
  <c r="H9" i="4"/>
  <c r="H33" i="4" s="1"/>
  <c r="H133" i="3"/>
  <c r="G19" i="4"/>
  <c r="G43" i="4" s="1"/>
  <c r="K103" i="3"/>
  <c r="J15" i="4"/>
  <c r="J39" i="4" s="1"/>
  <c r="H46" i="3"/>
  <c r="G9" i="4"/>
  <c r="G33" i="4" s="1"/>
  <c r="K66" i="3"/>
  <c r="J11" i="4"/>
  <c r="J35" i="4" s="1"/>
  <c r="K133" i="3"/>
  <c r="J19" i="4"/>
  <c r="J43" i="4" s="1"/>
  <c r="J103" i="3"/>
  <c r="I15" i="4"/>
  <c r="I39" i="4" s="1"/>
  <c r="H66" i="3"/>
  <c r="G11" i="4"/>
  <c r="G35" i="4" s="1"/>
  <c r="H29" i="3"/>
  <c r="G86" i="3"/>
  <c r="I86" i="3"/>
  <c r="K86" i="3"/>
  <c r="H86" i="3"/>
  <c r="E86" i="3"/>
  <c r="D86" i="3"/>
  <c r="J86" i="3"/>
  <c r="F86" i="3"/>
  <c r="C48" i="4" l="1"/>
  <c r="C56" i="4" s="1"/>
  <c r="G31" i="4"/>
  <c r="G56" i="4" s="1"/>
  <c r="G55" i="4"/>
  <c r="E87" i="3"/>
  <c r="D13" i="4"/>
  <c r="D37" i="4" s="1"/>
  <c r="D87" i="3"/>
  <c r="C13" i="4"/>
  <c r="C37" i="4" s="1"/>
  <c r="G87" i="3"/>
  <c r="F13" i="4"/>
  <c r="F37" i="4" s="1"/>
  <c r="F87" i="3"/>
  <c r="E13" i="4"/>
  <c r="E37" i="4" s="1"/>
  <c r="H87" i="3"/>
  <c r="G13" i="4"/>
  <c r="G37" i="4" s="1"/>
  <c r="K87" i="3"/>
  <c r="J13" i="4"/>
  <c r="J37" i="4" s="1"/>
  <c r="I87" i="3"/>
  <c r="H13" i="4"/>
  <c r="H37" i="4" s="1"/>
  <c r="J87" i="3"/>
  <c r="I13" i="4"/>
  <c r="I37" i="4" s="1"/>
  <c r="H30" i="3"/>
  <c r="G8" i="4"/>
  <c r="G32" i="4" s="1"/>
  <c r="G25" i="4"/>
  <c r="G49" i="4" l="1"/>
  <c r="G50" i="4" s="1"/>
  <c r="G51" i="4" s="1"/>
  <c r="G26" i="4"/>
  <c r="I56" i="4" l="1"/>
  <c r="H56" i="4"/>
  <c r="G22" i="3" l="1"/>
  <c r="G23" i="3" s="1"/>
  <c r="F22" i="3" l="1"/>
  <c r="F23" i="3" s="1"/>
  <c r="F19" i="3"/>
  <c r="E22" i="3"/>
  <c r="E23" i="3" s="1"/>
  <c r="E19" i="3"/>
  <c r="D22" i="3"/>
  <c r="D23" i="3" s="1"/>
  <c r="D19" i="3"/>
  <c r="G19" i="3"/>
  <c r="D20" i="3" l="1"/>
  <c r="D21" i="3" s="1"/>
  <c r="E20" i="3"/>
  <c r="E21" i="3" s="1"/>
  <c r="I28" i="3"/>
  <c r="G28" i="3"/>
  <c r="F28" i="3"/>
  <c r="E28" i="3"/>
  <c r="D28" i="3"/>
  <c r="F20" i="3"/>
  <c r="F21" i="3" s="1"/>
  <c r="G20" i="3"/>
  <c r="G21" i="3" s="1"/>
  <c r="C7" i="4"/>
  <c r="D184" i="3" l="1"/>
  <c r="D198" i="3" s="1"/>
  <c r="D199" i="3" s="1"/>
  <c r="G29" i="3"/>
  <c r="G30" i="3" s="1"/>
  <c r="G184" i="3"/>
  <c r="G198" i="3" s="1"/>
  <c r="E29" i="3"/>
  <c r="E184" i="3"/>
  <c r="E198" i="3" s="1"/>
  <c r="E199" i="3" s="1"/>
  <c r="E201" i="3" s="1"/>
  <c r="F29" i="3"/>
  <c r="E8" i="4" s="1"/>
  <c r="E32" i="4" s="1"/>
  <c r="F184" i="3"/>
  <c r="F198" i="3" s="1"/>
  <c r="F199" i="3" s="1"/>
  <c r="I29" i="3"/>
  <c r="H8" i="4" s="1"/>
  <c r="H32" i="4" s="1"/>
  <c r="I184" i="3"/>
  <c r="I198" i="3" s="1"/>
  <c r="D7" i="4"/>
  <c r="D31" i="4" s="1"/>
  <c r="I22" i="3"/>
  <c r="I23" i="3" s="1"/>
  <c r="I19" i="3"/>
  <c r="J22" i="3"/>
  <c r="J23" i="3" s="1"/>
  <c r="J19" i="3"/>
  <c r="K23" i="3"/>
  <c r="K19" i="3"/>
  <c r="J28" i="3"/>
  <c r="K28" i="3"/>
  <c r="I30" i="3"/>
  <c r="F30" i="3"/>
  <c r="F8" i="4"/>
  <c r="F32" i="4" s="1"/>
  <c r="G199" i="3"/>
  <c r="D29" i="3"/>
  <c r="E30" i="3"/>
  <c r="D8" i="4"/>
  <c r="D32" i="4" s="1"/>
  <c r="F7" i="4"/>
  <c r="F31" i="4" s="1"/>
  <c r="E7" i="4"/>
  <c r="E31" i="4" s="1"/>
  <c r="C31" i="4"/>
  <c r="F56" i="4"/>
  <c r="D201" i="3" l="1"/>
  <c r="C25" i="4"/>
  <c r="C49" i="4" s="1"/>
  <c r="K29" i="3"/>
  <c r="K30" i="3" s="1"/>
  <c r="K184" i="3"/>
  <c r="K198" i="3" s="1"/>
  <c r="K199" i="3" s="1"/>
  <c r="J29" i="3"/>
  <c r="J30" i="3" s="1"/>
  <c r="J184" i="3"/>
  <c r="J198" i="3" s="1"/>
  <c r="J199" i="3" s="1"/>
  <c r="F25" i="4"/>
  <c r="F49" i="4" s="1"/>
  <c r="F50" i="4" s="1"/>
  <c r="F51" i="4" s="1"/>
  <c r="G201" i="3"/>
  <c r="E25" i="4"/>
  <c r="E49" i="4" s="1"/>
  <c r="E50" i="4" s="1"/>
  <c r="E51" i="4" s="1"/>
  <c r="F201" i="3"/>
  <c r="D25" i="4"/>
  <c r="D49" i="4" s="1"/>
  <c r="D50" i="4" s="1"/>
  <c r="D51" i="4" s="1"/>
  <c r="I20" i="3"/>
  <c r="H7" i="4" s="1"/>
  <c r="H31" i="4" s="1"/>
  <c r="I199" i="3"/>
  <c r="D30" i="3"/>
  <c r="C8" i="4"/>
  <c r="K21" i="3"/>
  <c r="J20" i="3"/>
  <c r="J21" i="3" s="1"/>
  <c r="D56" i="4"/>
  <c r="E56" i="4"/>
  <c r="J8" i="4" l="1"/>
  <c r="J32" i="4" s="1"/>
  <c r="I8" i="4"/>
  <c r="I32" i="4" s="1"/>
  <c r="J25" i="4"/>
  <c r="J49" i="4" s="1"/>
  <c r="K201" i="3"/>
  <c r="H25" i="4"/>
  <c r="H49" i="4" s="1"/>
  <c r="H50" i="4" s="1"/>
  <c r="H51" i="4" s="1"/>
  <c r="I201" i="3"/>
  <c r="E26" i="4"/>
  <c r="F26" i="4"/>
  <c r="I25" i="4"/>
  <c r="I49" i="4" s="1"/>
  <c r="J201" i="3"/>
  <c r="D26" i="4"/>
  <c r="I21" i="3"/>
  <c r="C32" i="4"/>
  <c r="C50" i="4" s="1"/>
  <c r="C51" i="4" s="1"/>
  <c r="C26" i="4"/>
  <c r="I7" i="4"/>
  <c r="I26" i="4" l="1"/>
  <c r="J26" i="4"/>
  <c r="H26" i="4"/>
  <c r="J50" i="4"/>
  <c r="J51" i="4" s="1"/>
  <c r="I31" i="4"/>
  <c r="I50" i="4" s="1"/>
  <c r="I51" i="4" s="1"/>
  <c r="J56" i="4"/>
</calcChain>
</file>

<file path=xl/comments1.xml><?xml version="1.0" encoding="utf-8"?>
<comments xmlns="http://schemas.openxmlformats.org/spreadsheetml/2006/main">
  <authors>
    <author>Danilo Miziara Pereira</author>
  </authors>
  <commentList>
    <comment ref="B11" authorId="0" shapeId="0">
      <text>
        <r>
          <rPr>
            <b/>
            <sz val="9"/>
            <color indexed="81"/>
            <rFont val="Segoe UI"/>
            <family val="2"/>
          </rPr>
          <t>16295:</t>
        </r>
        <r>
          <rPr>
            <sz val="9"/>
            <color indexed="81"/>
            <rFont val="Segoe UI"/>
            <family val="2"/>
          </rPr>
          <t xml:space="preserve">
(captação, estorno, eventos tênis e Pinheiros Pontua)</t>
        </r>
      </text>
    </comment>
  </commentList>
</comments>
</file>

<file path=xl/sharedStrings.xml><?xml version="1.0" encoding="utf-8"?>
<sst xmlns="http://schemas.openxmlformats.org/spreadsheetml/2006/main" count="317" uniqueCount="94">
  <si>
    <t>Dir. Área Patrimônio</t>
  </si>
  <si>
    <t>Patrimônio</t>
  </si>
  <si>
    <t>Dir. Área Restaurantes</t>
  </si>
  <si>
    <t>Restaurantes e Lanchonetes</t>
  </si>
  <si>
    <t>Tecnologia</t>
  </si>
  <si>
    <t>Assessoria de Planejamento</t>
  </si>
  <si>
    <t>Dir. Área Jurídica</t>
  </si>
  <si>
    <t>Jurídica</t>
  </si>
  <si>
    <t>Dir. Área Administrativa</t>
  </si>
  <si>
    <t>Recursos Humanos</t>
  </si>
  <si>
    <t>Despesa</t>
  </si>
  <si>
    <t>Receita</t>
  </si>
  <si>
    <t>Governança e Compliance</t>
  </si>
  <si>
    <t>Planejamento</t>
  </si>
  <si>
    <t>Conselhos</t>
  </si>
  <si>
    <t>Conselho Deliberativo</t>
  </si>
  <si>
    <t>Conselho Fiscal</t>
  </si>
  <si>
    <t>Médica</t>
  </si>
  <si>
    <t>Comunicação</t>
  </si>
  <si>
    <t>Dir. Área Cultural</t>
  </si>
  <si>
    <t>Cultural</t>
  </si>
  <si>
    <t>Dir. Área Esportes Aquáticos e Individuais</t>
  </si>
  <si>
    <t>Esportes Aquáticos</t>
  </si>
  <si>
    <t>Esportes Individuais</t>
  </si>
  <si>
    <t>Esportes Coletivos</t>
  </si>
  <si>
    <t>Dir. Área Financeira</t>
  </si>
  <si>
    <t>Financeira</t>
  </si>
  <si>
    <t>Marketing</t>
  </si>
  <si>
    <t>Dir. Área Operações</t>
  </si>
  <si>
    <t>Segurança</t>
  </si>
  <si>
    <t>Serviços Gerais</t>
  </si>
  <si>
    <t>Dir. Área Relações Esportivas</t>
  </si>
  <si>
    <t>Adm. Relações Esportivas</t>
  </si>
  <si>
    <t>Esportes Futebol</t>
  </si>
  <si>
    <t>Esportes Raquetes</t>
  </si>
  <si>
    <t>Relações Esportivas</t>
  </si>
  <si>
    <t>Dir. Área Social</t>
  </si>
  <si>
    <t>Social</t>
  </si>
  <si>
    <t>Veteranos</t>
  </si>
  <si>
    <t>Suprimentos</t>
  </si>
  <si>
    <t>Presidência</t>
  </si>
  <si>
    <t>Centro Pró Memória Hans Nobiling</t>
  </si>
  <si>
    <t>Custeio Geral</t>
  </si>
  <si>
    <t>Ouvidoria e Central de Atendimento</t>
  </si>
  <si>
    <t>TEC-Utilidades</t>
  </si>
  <si>
    <t>RHU-Desligamentos</t>
  </si>
  <si>
    <t>JUR-Contingências</t>
  </si>
  <si>
    <t>PAT-Utilidades</t>
  </si>
  <si>
    <t>RES-Utilidades</t>
  </si>
  <si>
    <t>RES-Desligamentos</t>
  </si>
  <si>
    <t>Contribuições</t>
  </si>
  <si>
    <t>Extraordinárias</t>
  </si>
  <si>
    <t>Patrimoniais</t>
  </si>
  <si>
    <t>Patrocínios</t>
  </si>
  <si>
    <t>Resultado</t>
  </si>
  <si>
    <t>TOTAL CUSTEIO</t>
  </si>
  <si>
    <t>Adm. Esportes</t>
  </si>
  <si>
    <t>DAS</t>
  </si>
  <si>
    <t>Ética Disciplinar</t>
  </si>
  <si>
    <t>Eventuais - 3155</t>
  </si>
  <si>
    <t>Fundos, provisões e desligamento associados</t>
  </si>
  <si>
    <t>% subsídio</t>
  </si>
  <si>
    <t>Ref. mensalidade</t>
  </si>
  <si>
    <t>RHU-Covid19</t>
  </si>
  <si>
    <t>Mensalidade (individual adulto)</t>
  </si>
  <si>
    <t>TOTAL</t>
  </si>
  <si>
    <t>Eventuais - MKT</t>
  </si>
  <si>
    <t>TOTAL ORÇ. CORRENTE</t>
  </si>
  <si>
    <t>Resultado do exercício</t>
  </si>
  <si>
    <t>Ref. mensalidade (em R$)</t>
  </si>
  <si>
    <t>Selecionar</t>
  </si>
  <si>
    <t>Gráfico por Diretoria de Área</t>
  </si>
  <si>
    <t>ANÁLISE GERENCIAL</t>
  </si>
  <si>
    <t>PO 2024</t>
  </si>
  <si>
    <t>Dir. Área Esportes Associativos</t>
  </si>
  <si>
    <t xml:space="preserve">Esportes Associativos </t>
  </si>
  <si>
    <t>Dir. Área Esportes Coletivos e Raquetes</t>
  </si>
  <si>
    <t>Dir. Área Marketing Esportivo</t>
  </si>
  <si>
    <t>Dir. Área Marketing Institucional</t>
  </si>
  <si>
    <t>Marketing Esportivo</t>
  </si>
  <si>
    <t>Dir. Área Relações Institucionais</t>
  </si>
  <si>
    <t>Relações Institucionais</t>
  </si>
  <si>
    <t xml:space="preserve">Dir. Área Marketing Institucional </t>
  </si>
  <si>
    <t>Real 2017</t>
  </si>
  <si>
    <t>Real 2018</t>
  </si>
  <si>
    <t>Real 2019</t>
  </si>
  <si>
    <t>Real 2020</t>
  </si>
  <si>
    <t>Real 2022</t>
  </si>
  <si>
    <t>Projeção 2023</t>
  </si>
  <si>
    <t>Orçamento 2024</t>
  </si>
  <si>
    <t>Utilidades</t>
  </si>
  <si>
    <t>Proj 2023</t>
  </si>
  <si>
    <t>Real 
2021</t>
  </si>
  <si>
    <t>Errata: Referente ao Ofício 2421/2023-PCD - Ref. Resolução nº 19/2023 do Conselho Deliberativo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</si>
</sst>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-* #,##0_-;\-* #,##0_-;_-* &quot;-&quot;_-;_-@_-"/>
    <numFmt numFmtId="43" formatCode="_-* #,##0.00_-;\-* #,##0.00_-;_-* &quot;-&quot;??_-;_-@_-"/>
    <numFmt numFmtId="164" formatCode="#,##0.00_ ;[Red]\-#,##0.00\ "/>
    <numFmt numFmtId="165" formatCode="#,##0_ ;[Red]\-#,##0\ "/>
    <numFmt numFmtId="166" formatCode="0.0%"/>
    <numFmt numFmtId="167" formatCode="_-* #,##0_-;\-* #,##0_-;_-* &quot;-&quot;??_-;_-@_-"/>
    <numFmt numFmtId="168" formatCode="0.0%;[Red]\-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color rgb="FF0070C0"/>
      <name val="Arial"/>
      <family val="2"/>
    </font>
    <font>
      <sz val="10"/>
      <color rgb="FF0070C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0"/>
      <color theme="0"/>
      <name val="Arial"/>
      <family val="2"/>
    </font>
    <font>
      <sz val="13"/>
      <color rgb="FF1F1F1F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/>
    <xf numFmtId="165" fontId="2" fillId="0" borderId="0" xfId="0" applyNumberFormat="1" applyFont="1"/>
    <xf numFmtId="0" fontId="3" fillId="2" borderId="1" xfId="0" applyFont="1" applyFill="1" applyBorder="1" applyAlignment="1">
      <alignment horizontal="center"/>
    </xf>
    <xf numFmtId="0" fontId="2" fillId="0" borderId="2" xfId="0" applyFont="1" applyBorder="1"/>
    <xf numFmtId="165" fontId="2" fillId="0" borderId="2" xfId="0" applyNumberFormat="1" applyFont="1" applyBorder="1"/>
    <xf numFmtId="0" fontId="2" fillId="0" borderId="0" xfId="0" applyFont="1" applyBorder="1"/>
    <xf numFmtId="165" fontId="2" fillId="0" borderId="0" xfId="0" applyNumberFormat="1" applyFont="1" applyBorder="1"/>
    <xf numFmtId="0" fontId="2" fillId="0" borderId="0" xfId="0" applyFont="1" applyAlignment="1">
      <alignment horizontal="center"/>
    </xf>
    <xf numFmtId="0" fontId="4" fillId="4" borderId="2" xfId="0" applyFont="1" applyFill="1" applyBorder="1"/>
    <xf numFmtId="165" fontId="4" fillId="4" borderId="2" xfId="0" applyNumberFormat="1" applyFont="1" applyFill="1" applyBorder="1"/>
    <xf numFmtId="0" fontId="3" fillId="6" borderId="0" xfId="0" applyFont="1" applyFill="1"/>
    <xf numFmtId="165" fontId="3" fillId="6" borderId="0" xfId="0" applyNumberFormat="1" applyFont="1" applyFill="1"/>
    <xf numFmtId="0" fontId="3" fillId="7" borderId="0" xfId="0" applyFont="1" applyFill="1"/>
    <xf numFmtId="0" fontId="3" fillId="8" borderId="0" xfId="0" applyFont="1" applyFill="1"/>
    <xf numFmtId="165" fontId="3" fillId="8" borderId="0" xfId="0" applyNumberFormat="1" applyFont="1" applyFill="1"/>
    <xf numFmtId="0" fontId="3" fillId="9" borderId="0" xfId="0" applyFont="1" applyFill="1"/>
    <xf numFmtId="165" fontId="3" fillId="9" borderId="0" xfId="0" applyNumberFormat="1" applyFont="1" applyFill="1"/>
    <xf numFmtId="166" fontId="2" fillId="5" borderId="0" xfId="1" applyNumberFormat="1" applyFont="1" applyFill="1"/>
    <xf numFmtId="164" fontId="2" fillId="5" borderId="0" xfId="0" applyNumberFormat="1" applyFont="1" applyFill="1"/>
    <xf numFmtId="0" fontId="2" fillId="7" borderId="0" xfId="0" applyFont="1" applyFill="1"/>
    <xf numFmtId="0" fontId="2" fillId="6" borderId="0" xfId="0" applyFont="1" applyFill="1"/>
    <xf numFmtId="0" fontId="2" fillId="5" borderId="0" xfId="0" applyFont="1" applyFill="1"/>
    <xf numFmtId="0" fontId="4" fillId="4" borderId="0" xfId="0" applyFont="1" applyFill="1"/>
    <xf numFmtId="166" fontId="4" fillId="4" borderId="0" xfId="1" applyNumberFormat="1" applyFont="1" applyFill="1"/>
    <xf numFmtId="0" fontId="5" fillId="3" borderId="0" xfId="0" applyFont="1" applyFill="1"/>
    <xf numFmtId="164" fontId="4" fillId="3" borderId="0" xfId="0" applyNumberFormat="1" applyFont="1" applyFill="1"/>
    <xf numFmtId="0" fontId="4" fillId="4" borderId="0" xfId="0" applyFont="1" applyFill="1" applyBorder="1"/>
    <xf numFmtId="165" fontId="4" fillId="4" borderId="0" xfId="0" applyNumberFormat="1" applyFont="1" applyFill="1" applyBorder="1"/>
    <xf numFmtId="165" fontId="2" fillId="6" borderId="0" xfId="0" applyNumberFormat="1" applyFont="1" applyFill="1"/>
    <xf numFmtId="166" fontId="2" fillId="11" borderId="0" xfId="1" applyNumberFormat="1" applyFont="1" applyFill="1"/>
    <xf numFmtId="166" fontId="3" fillId="7" borderId="0" xfId="0" applyNumberFormat="1" applyFont="1" applyFill="1"/>
    <xf numFmtId="2" fontId="2" fillId="7" borderId="0" xfId="0" applyNumberFormat="1" applyFont="1" applyFill="1" applyAlignment="1">
      <alignment horizontal="center"/>
    </xf>
    <xf numFmtId="0" fontId="2" fillId="10" borderId="0" xfId="0" applyFont="1" applyFill="1"/>
    <xf numFmtId="165" fontId="2" fillId="10" borderId="0" xfId="0" applyNumberFormat="1" applyFont="1" applyFill="1"/>
    <xf numFmtId="166" fontId="3" fillId="8" borderId="0" xfId="1" applyNumberFormat="1" applyFont="1" applyFill="1"/>
    <xf numFmtId="2" fontId="2" fillId="5" borderId="0" xfId="1" applyNumberFormat="1" applyFont="1" applyFill="1"/>
    <xf numFmtId="2" fontId="2" fillId="8" borderId="0" xfId="1" applyNumberFormat="1" applyFont="1" applyFill="1"/>
    <xf numFmtId="2" fontId="2" fillId="11" borderId="0" xfId="1" applyNumberFormat="1" applyFont="1" applyFill="1"/>
    <xf numFmtId="0" fontId="3" fillId="0" borderId="0" xfId="0" applyFont="1" applyFill="1"/>
    <xf numFmtId="0" fontId="2" fillId="0" borderId="0" xfId="0" applyFont="1" applyFill="1"/>
    <xf numFmtId="0" fontId="8" fillId="12" borderId="0" xfId="0" applyFont="1" applyFill="1"/>
    <xf numFmtId="0" fontId="2" fillId="0" borderId="4" xfId="0" applyFont="1" applyFill="1" applyBorder="1"/>
    <xf numFmtId="0" fontId="2" fillId="0" borderId="3" xfId="0" applyFont="1" applyFill="1" applyBorder="1" applyAlignment="1">
      <alignment horizontal="center"/>
    </xf>
    <xf numFmtId="166" fontId="2" fillId="0" borderId="3" xfId="1" applyNumberFormat="1" applyFont="1" applyFill="1" applyBorder="1" applyAlignment="1">
      <alignment horizontal="center"/>
    </xf>
    <xf numFmtId="2" fontId="2" fillId="0" borderId="3" xfId="1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43" fontId="2" fillId="0" borderId="0" xfId="2" applyFont="1"/>
    <xf numFmtId="43" fontId="2" fillId="0" borderId="0" xfId="0" applyNumberFormat="1" applyFont="1"/>
    <xf numFmtId="0" fontId="2" fillId="6" borderId="5" xfId="0" applyFont="1" applyFill="1" applyBorder="1"/>
    <xf numFmtId="165" fontId="2" fillId="6" borderId="5" xfId="0" applyNumberFormat="1" applyFont="1" applyFill="1" applyBorder="1"/>
    <xf numFmtId="43" fontId="2" fillId="0" borderId="0" xfId="0" applyNumberFormat="1" applyFont="1" applyBorder="1"/>
    <xf numFmtId="167" fontId="2" fillId="0" borderId="0" xfId="2" applyNumberFormat="1" applyFont="1"/>
    <xf numFmtId="165" fontId="3" fillId="9" borderId="5" xfId="0" applyNumberFormat="1" applyFont="1" applyFill="1" applyBorder="1"/>
    <xf numFmtId="165" fontId="2" fillId="13" borderId="2" xfId="0" applyNumberFormat="1" applyFont="1" applyFill="1" applyBorder="1"/>
    <xf numFmtId="165" fontId="2" fillId="0" borderId="2" xfId="0" applyNumberFormat="1" applyFont="1" applyFill="1" applyBorder="1"/>
    <xf numFmtId="0" fontId="8" fillId="0" borderId="0" xfId="0" applyFont="1"/>
    <xf numFmtId="0" fontId="8" fillId="0" borderId="0" xfId="0" applyFont="1" applyBorder="1"/>
    <xf numFmtId="165" fontId="2" fillId="14" borderId="0" xfId="0" applyNumberFormat="1" applyFont="1" applyFill="1"/>
    <xf numFmtId="165" fontId="2" fillId="14" borderId="2" xfId="0" applyNumberFormat="1" applyFont="1" applyFill="1" applyBorder="1"/>
    <xf numFmtId="165" fontId="4" fillId="14" borderId="2" xfId="0" applyNumberFormat="1" applyFont="1" applyFill="1" applyBorder="1"/>
    <xf numFmtId="165" fontId="8" fillId="14" borderId="0" xfId="0" applyNumberFormat="1" applyFont="1" applyFill="1"/>
    <xf numFmtId="0" fontId="9" fillId="14" borderId="0" xfId="0" applyFont="1" applyFill="1"/>
    <xf numFmtId="41" fontId="0" fillId="14" borderId="0" xfId="0" applyNumberFormat="1" applyFill="1" applyAlignment="1">
      <alignment horizontal="center" vertical="center"/>
    </xf>
    <xf numFmtId="168" fontId="0" fillId="14" borderId="0" xfId="1" applyNumberFormat="1" applyFont="1" applyFill="1" applyAlignment="1">
      <alignment horizontal="center" vertical="center"/>
    </xf>
    <xf numFmtId="0" fontId="2" fillId="14" borderId="0" xfId="0" applyFont="1" applyFill="1"/>
  </cellXfs>
  <cellStyles count="3">
    <cellStyle name="Normal" xfId="0" builtinId="0"/>
    <cellStyle name="Porcentagem" xfId="1" builtinId="5"/>
    <cellStyle name="Vírgula" xfId="2" builtinId="3"/>
  </cellStyles>
  <dxfs count="0"/>
  <tableStyles count="0" defaultTableStyle="TableStyleMedium2" defaultPivotStyle="PivotStyleLight16"/>
  <colors>
    <mruColors>
      <color rgb="FF00FF00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'Resumo geral e gráfico'!$B$30</c:f>
              <c:strCache>
                <c:ptCount val="1"/>
                <c:pt idx="0">
                  <c:v>Ref. mensalidade (em R$)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hade val="76000"/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hade val="76000"/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shade val="76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'Resumo geral e gráfico'!$C$54:$J$54</c:f>
              <c:strCach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Proj 2023</c:v>
                </c:pt>
                <c:pt idx="7">
                  <c:v>PO 2024</c:v>
                </c:pt>
              </c:strCache>
            </c:strRef>
          </c:cat>
          <c:val>
            <c:numRef>
              <c:f>'Resumo geral e gráfico'!$C$56:$J$56</c:f>
              <c:numCache>
                <c:formatCode>0.00</c:formatCode>
                <c:ptCount val="8"/>
                <c:pt idx="0">
                  <c:v>22.879948204639238</c:v>
                </c:pt>
                <c:pt idx="1">
                  <c:v>20.444425057957783</c:v>
                </c:pt>
                <c:pt idx="2">
                  <c:v>21.621294919609372</c:v>
                </c:pt>
                <c:pt idx="3">
                  <c:v>45.079663201759786</c:v>
                </c:pt>
                <c:pt idx="4">
                  <c:v>26.399946769718635</c:v>
                </c:pt>
                <c:pt idx="5">
                  <c:v>29.881049955708558</c:v>
                </c:pt>
                <c:pt idx="6">
                  <c:v>20.055068100707707</c:v>
                </c:pt>
                <c:pt idx="7">
                  <c:v>22.409865062297676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0F-467C-89FA-8137210BBD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045980032"/>
        <c:axId val="634959600"/>
      </c:barChart>
      <c:lineChart>
        <c:grouping val="standard"/>
        <c:varyColors val="0"/>
        <c:ser>
          <c:idx val="0"/>
          <c:order val="0"/>
          <c:tx>
            <c:strRef>
              <c:f>'Resumo geral e gráfico'!$B$6</c:f>
              <c:strCache>
                <c:ptCount val="1"/>
                <c:pt idx="0">
                  <c:v>% subsídio</c:v>
                </c:pt>
              </c:strCache>
            </c:strRef>
          </c:tx>
          <c:spPr>
            <a:ln w="34925" cap="rnd">
              <a:solidFill>
                <a:schemeClr val="accent4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'Resumo geral e gráfico'!$C$54:$J$54</c:f>
              <c:strCach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Proj 2023</c:v>
                </c:pt>
                <c:pt idx="7">
                  <c:v>PO 2024</c:v>
                </c:pt>
              </c:strCache>
            </c:strRef>
          </c:cat>
          <c:val>
            <c:numRef>
              <c:f>'Resumo geral e gráfico'!$C$55:$J$55</c:f>
              <c:numCache>
                <c:formatCode>0.0%</c:formatCode>
                <c:ptCount val="8"/>
                <c:pt idx="0">
                  <c:v>5.5941193654374666E-2</c:v>
                </c:pt>
                <c:pt idx="1">
                  <c:v>4.8677202518947103E-2</c:v>
                </c:pt>
                <c:pt idx="2">
                  <c:v>4.9476647413293759E-2</c:v>
                </c:pt>
                <c:pt idx="3">
                  <c:v>9.9185177561627688E-2</c:v>
                </c:pt>
                <c:pt idx="4">
                  <c:v>5.8085691462527247E-2</c:v>
                </c:pt>
                <c:pt idx="5">
                  <c:v>6.0122836933015206E-2</c:v>
                </c:pt>
                <c:pt idx="6">
                  <c:v>3.7556307304696078E-2</c:v>
                </c:pt>
                <c:pt idx="7">
                  <c:v>3.9875204737184478E-2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50F-467C-89FA-8137210BBD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4960432"/>
        <c:axId val="634957520"/>
      </c:lineChart>
      <c:catAx>
        <c:axId val="634960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pt-BR"/>
          </a:p>
        </c:txPr>
        <c:crossAx val="634957520"/>
        <c:crosses val="autoZero"/>
        <c:auto val="1"/>
        <c:lblAlgn val="ctr"/>
        <c:lblOffset val="100"/>
        <c:noMultiLvlLbl val="0"/>
      </c:catAx>
      <c:valAx>
        <c:axId val="634957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pt-BR"/>
          </a:p>
        </c:txPr>
        <c:crossAx val="634960432"/>
        <c:crosses val="autoZero"/>
        <c:crossBetween val="between"/>
      </c:valAx>
      <c:valAx>
        <c:axId val="634959600"/>
        <c:scaling>
          <c:orientation val="minMax"/>
        </c:scaling>
        <c:delete val="0"/>
        <c:axPos val="r"/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pt-BR"/>
          </a:p>
        </c:txPr>
        <c:crossAx val="2045980032"/>
        <c:crosses val="max"/>
        <c:crossBetween val="between"/>
      </c:valAx>
      <c:catAx>
        <c:axId val="204598003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63495960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pt-BR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5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32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gradFill>
        <a:gsLst>
          <a:gs pos="100000">
            <a:schemeClr val="dk1">
              <a:lumMod val="95000"/>
              <a:lumOff val="5000"/>
            </a:schemeClr>
          </a:gs>
          <a:gs pos="0">
            <a:schemeClr val="dk1">
              <a:lumMod val="75000"/>
              <a:lumOff val="25000"/>
            </a:schemeClr>
          </a:gs>
        </a:gsLst>
        <a:path path="circle">
          <a:fillToRect l="50000" t="50000" r="50000" b="50000"/>
        </a:path>
      </a:gradFill>
      <a:ln w="9525">
        <a:solidFill>
          <a:schemeClr val="dk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gradFill>
        <a:gsLst>
          <a:gs pos="100000">
            <a:schemeClr val="lt1">
              <a:lumMod val="85000"/>
            </a:schemeClr>
          </a:gs>
          <a:gs pos="0">
            <a:schemeClr val="lt1"/>
          </a:gs>
        </a:gsLst>
        <a:path path="circle">
          <a:fillToRect l="50000" t="50000" r="50000" b="50000"/>
        </a:path>
      </a:gradFill>
      <a:ln w="9525" cap="flat" cmpd="sng" algn="ctr">
        <a:solidFill>
          <a:schemeClr val="lt1"/>
        </a:solidFill>
        <a:round/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2686049</xdr:colOff>
      <xdr:row>57</xdr:row>
      <xdr:rowOff>19050</xdr:rowOff>
    </xdr:from>
    <xdr:to>
      <xdr:col>9</xdr:col>
      <xdr:colOff>923924</xdr:colOff>
      <xdr:row>75</xdr:row>
      <xdr:rowOff>95250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79"/>
  <sheetViews>
    <sheetView showGridLines="0" zoomScaleNormal="100" workbookViewId="0">
      <selection activeCell="C7" sqref="C7:J26"/>
    </sheetView>
  </sheetViews>
  <sheetFormatPr defaultColWidth="9.109375" defaultRowHeight="13.2" x14ac:dyDescent="0.25"/>
  <cols>
    <col min="1" max="1" width="2.6640625" style="1" customWidth="1"/>
    <col min="2" max="2" width="40.6640625" style="1" customWidth="1"/>
    <col min="3" max="10" width="14.6640625" style="1" customWidth="1"/>
    <col min="11" max="16384" width="9.109375" style="1"/>
  </cols>
  <sheetData>
    <row r="1" spans="2:10" x14ac:dyDescent="0.25">
      <c r="C1" s="2"/>
      <c r="D1" s="2"/>
      <c r="E1" s="2"/>
      <c r="F1" s="2"/>
      <c r="G1" s="2"/>
      <c r="H1" s="2"/>
      <c r="I1" s="2"/>
      <c r="J1" s="2"/>
    </row>
    <row r="2" spans="2:10" x14ac:dyDescent="0.25">
      <c r="C2" s="3">
        <v>2017</v>
      </c>
      <c r="D2" s="3">
        <v>2018</v>
      </c>
      <c r="E2" s="3">
        <v>2019</v>
      </c>
      <c r="F2" s="3">
        <v>2020</v>
      </c>
      <c r="G2" s="3">
        <v>2021</v>
      </c>
      <c r="H2" s="3">
        <v>2022</v>
      </c>
      <c r="I2" s="3" t="s">
        <v>91</v>
      </c>
      <c r="J2" s="3" t="s">
        <v>73</v>
      </c>
    </row>
    <row r="4" spans="2:10" x14ac:dyDescent="0.25">
      <c r="B4" s="11" t="s">
        <v>42</v>
      </c>
      <c r="C4" s="12">
        <f>Detalhado!D13</f>
        <v>133210386</v>
      </c>
      <c r="D4" s="12">
        <f>Detalhado!E13</f>
        <v>139043015</v>
      </c>
      <c r="E4" s="12">
        <f>Detalhado!F13</f>
        <v>141386136</v>
      </c>
      <c r="F4" s="12">
        <f>Detalhado!G13</f>
        <v>139647935.10999998</v>
      </c>
      <c r="G4" s="12">
        <f>Detalhado!H13</f>
        <v>146365185.39999995</v>
      </c>
      <c r="H4" s="12">
        <f>Detalhado!I13</f>
        <v>159853745.26999998</v>
      </c>
      <c r="I4" s="12">
        <f>Detalhado!J13</f>
        <v>174075327.39999998</v>
      </c>
      <c r="J4" s="12">
        <f>Detalhado!K13</f>
        <v>182052216.07391009</v>
      </c>
    </row>
    <row r="6" spans="2:10" x14ac:dyDescent="0.25">
      <c r="B6" s="39" t="s">
        <v>61</v>
      </c>
    </row>
    <row r="7" spans="2:10" x14ac:dyDescent="0.25">
      <c r="B7" s="16" t="s">
        <v>5</v>
      </c>
      <c r="C7" s="18">
        <f>Detalhado!D20+Detalhado!D22</f>
        <v>5.5826052482124029E-2</v>
      </c>
      <c r="D7" s="18">
        <f>Detalhado!E20+Detalhado!E22</f>
        <v>4.4446691550812531E-2</v>
      </c>
      <c r="E7" s="18">
        <f>Detalhado!F20+Detalhado!F22</f>
        <v>4.2490071303738011E-2</v>
      </c>
      <c r="F7" s="18">
        <f>Detalhado!G20+Detalhado!G22</f>
        <v>4.0781838596567851E-2</v>
      </c>
      <c r="G7" s="18">
        <f>Detalhado!H20+Detalhado!H22</f>
        <v>3.986964874230263E-2</v>
      </c>
      <c r="H7" s="18">
        <f>Detalhado!I20+Detalhado!I22</f>
        <v>4.4376444030250026E-2</v>
      </c>
      <c r="I7" s="18">
        <f>Detalhado!J20+Detalhado!J22</f>
        <v>4.3598055297984759E-2</v>
      </c>
      <c r="J7" s="18">
        <f>Detalhado!K20+Detalhado!K22</f>
        <v>4.8709273271603418E-2</v>
      </c>
    </row>
    <row r="8" spans="2:10" x14ac:dyDescent="0.25">
      <c r="B8" s="16" t="s">
        <v>14</v>
      </c>
      <c r="C8" s="18">
        <f>Detalhado!D29</f>
        <v>9.2671678017658479E-3</v>
      </c>
      <c r="D8" s="18">
        <f>Detalhado!E29</f>
        <v>1.0765654067556E-2</v>
      </c>
      <c r="E8" s="18">
        <f>Detalhado!F29</f>
        <v>9.9819334478452679E-3</v>
      </c>
      <c r="F8" s="18">
        <f>Detalhado!G29</f>
        <v>9.1286494783889838E-3</v>
      </c>
      <c r="G8" s="18">
        <f>Detalhado!H29</f>
        <v>8.2443473610357646E-3</v>
      </c>
      <c r="H8" s="18">
        <f>Detalhado!I29</f>
        <v>1.1696553289020101E-2</v>
      </c>
      <c r="I8" s="18">
        <f>Detalhado!J29</f>
        <v>1.2535487323748097E-2</v>
      </c>
      <c r="J8" s="18">
        <f>Detalhado!K29</f>
        <v>1.4535863196893439E-2</v>
      </c>
    </row>
    <row r="9" spans="2:10" x14ac:dyDescent="0.25">
      <c r="B9" s="16" t="s">
        <v>8</v>
      </c>
      <c r="C9" s="18">
        <f>Detalhado!D45+Detalhado!D47</f>
        <v>0.15794540975205945</v>
      </c>
      <c r="D9" s="18">
        <f>Detalhado!E45+Detalhado!E47</f>
        <v>0.14795645793497789</v>
      </c>
      <c r="E9" s="18">
        <f>Detalhado!F45+Detalhado!F47</f>
        <v>0.17298189689546364</v>
      </c>
      <c r="F9" s="18">
        <f>Detalhado!G45+Detalhado!G47</f>
        <v>0.19100687030559557</v>
      </c>
      <c r="G9" s="18">
        <f>Detalhado!H45+Detalhado!H47</f>
        <v>0.17909443942124789</v>
      </c>
      <c r="H9" s="18">
        <f>Detalhado!I45+Detalhado!I47</f>
        <v>0.1624958917047962</v>
      </c>
      <c r="I9" s="18">
        <f>Detalhado!J45+Detalhado!J47</f>
        <v>0.14837294610195287</v>
      </c>
      <c r="J9" s="18">
        <f>Detalhado!K45+Detalhado!K47</f>
        <v>0.14612022197740554</v>
      </c>
    </row>
    <row r="10" spans="2:10" x14ac:dyDescent="0.25">
      <c r="B10" s="16" t="s">
        <v>19</v>
      </c>
      <c r="C10" s="18">
        <f>Detalhado!D54</f>
        <v>1.4872016060369347E-2</v>
      </c>
      <c r="D10" s="18">
        <f>Detalhado!E54</f>
        <v>1.0943750033038336E-2</v>
      </c>
      <c r="E10" s="18">
        <f>Detalhado!F54</f>
        <v>1.0141673296736818E-2</v>
      </c>
      <c r="F10" s="18">
        <f>Detalhado!G54</f>
        <v>1.0766256721345084E-2</v>
      </c>
      <c r="G10" s="18">
        <f>Detalhado!H54</f>
        <v>1.2232172801934633E-2</v>
      </c>
      <c r="H10" s="18">
        <f>Detalhado!I54</f>
        <v>1.3593901389858901E-2</v>
      </c>
      <c r="I10" s="18">
        <f>Detalhado!J54</f>
        <v>1.4562720391586024E-2</v>
      </c>
      <c r="J10" s="18">
        <f>Detalhado!K54</f>
        <v>1.2000740898712279E-2</v>
      </c>
    </row>
    <row r="11" spans="2:10" x14ac:dyDescent="0.25">
      <c r="B11" s="16" t="s">
        <v>21</v>
      </c>
      <c r="C11" s="18">
        <f>Detalhado!D65</f>
        <v>0.10431799214214423</v>
      </c>
      <c r="D11" s="18">
        <f>Detalhado!E65</f>
        <v>0.11764888009656579</v>
      </c>
      <c r="E11" s="18">
        <f>Detalhado!F65</f>
        <v>0.13644226050565525</v>
      </c>
      <c r="F11" s="18">
        <f>Detalhado!G65</f>
        <v>9.3984905538786967E-2</v>
      </c>
      <c r="G11" s="18">
        <f>Detalhado!H65</f>
        <v>0.10783255961359253</v>
      </c>
      <c r="H11" s="18">
        <f>Detalhado!I65</f>
        <v>0.12629925226899885</v>
      </c>
      <c r="I11" s="18">
        <f>Detalhado!J65</f>
        <v>0.15907581501409246</v>
      </c>
      <c r="J11" s="18">
        <f>Detalhado!K65</f>
        <v>0.14526647100783788</v>
      </c>
    </row>
    <row r="12" spans="2:10" x14ac:dyDescent="0.25">
      <c r="B12" s="16" t="s">
        <v>74</v>
      </c>
      <c r="C12" s="18">
        <f>Detalhado!D72</f>
        <v>1.6979043961331965E-2</v>
      </c>
      <c r="D12" s="18">
        <f>Detalhado!E72</f>
        <v>1.5983132989456535E-2</v>
      </c>
      <c r="E12" s="18">
        <f>Detalhado!F72</f>
        <v>1.2966080351753867E-2</v>
      </c>
      <c r="F12" s="18">
        <f>Detalhado!G72</f>
        <v>1.1525131672961975E-2</v>
      </c>
      <c r="G12" s="18">
        <f>Detalhado!H72</f>
        <v>8.5766852723161251E-3</v>
      </c>
      <c r="H12" s="18">
        <f>Detalhado!I72</f>
        <v>1.2043987813661308E-2</v>
      </c>
      <c r="I12" s="18">
        <f>Detalhado!J72</f>
        <v>1.8155987796809409E-2</v>
      </c>
      <c r="J12" s="18">
        <f>Detalhado!K72</f>
        <v>2.1157230923868578E-2</v>
      </c>
    </row>
    <row r="13" spans="2:10" x14ac:dyDescent="0.25">
      <c r="B13" s="16" t="s">
        <v>76</v>
      </c>
      <c r="C13" s="18">
        <f>Detalhado!D86</f>
        <v>2.9950637632714314E-2</v>
      </c>
      <c r="D13" s="18">
        <f>Detalhado!E86</f>
        <v>6.1227261218407845E-2</v>
      </c>
      <c r="E13" s="18">
        <f>Detalhado!F86</f>
        <v>6.9399859686383958E-2</v>
      </c>
      <c r="F13" s="18">
        <f>Detalhado!G86</f>
        <v>5.2160564452759989E-2</v>
      </c>
      <c r="G13" s="18">
        <f>Detalhado!H86</f>
        <v>9.8858654060776444E-2</v>
      </c>
      <c r="H13" s="18">
        <f>Detalhado!I86</f>
        <v>0.10300297382578802</v>
      </c>
      <c r="I13" s="18">
        <f>Detalhado!J86</f>
        <v>0.12552383744647785</v>
      </c>
      <c r="J13" s="18">
        <f>Detalhado!K86</f>
        <v>0.10316043092634415</v>
      </c>
    </row>
    <row r="14" spans="2:10" x14ac:dyDescent="0.25">
      <c r="B14" s="16" t="s">
        <v>25</v>
      </c>
      <c r="C14" s="18">
        <f>Detalhado!D95</f>
        <v>9.8478552565713612E-2</v>
      </c>
      <c r="D14" s="18">
        <f>Detalhado!E95</f>
        <v>9.248655892566772E-2</v>
      </c>
      <c r="E14" s="18">
        <f>Detalhado!F95</f>
        <v>8.6133784715638595E-2</v>
      </c>
      <c r="F14" s="18">
        <f>Detalhado!G95</f>
        <v>8.6130592339411491E-2</v>
      </c>
      <c r="G14" s="18">
        <f>Detalhado!H95</f>
        <v>0.10191303566647207</v>
      </c>
      <c r="H14" s="18">
        <f>Detalhado!I95</f>
        <v>5.6053163939735348E-2</v>
      </c>
      <c r="I14" s="18">
        <f>Detalhado!J95</f>
        <v>5.9208980238287363E-2</v>
      </c>
      <c r="J14" s="18">
        <f>Detalhado!K95</f>
        <v>6.2517196792640686E-2</v>
      </c>
    </row>
    <row r="15" spans="2:10" x14ac:dyDescent="0.25">
      <c r="B15" s="16" t="s">
        <v>6</v>
      </c>
      <c r="C15" s="18">
        <f>Detalhado!D102+Detalhado!D104</f>
        <v>1.5605600001789651E-2</v>
      </c>
      <c r="D15" s="18">
        <f>Detalhado!E102+Detalhado!E104</f>
        <v>1.6806763000644081E-2</v>
      </c>
      <c r="E15" s="18">
        <f>Detalhado!F102+Detalhado!F104</f>
        <v>6.378524270583362E-2</v>
      </c>
      <c r="F15" s="18">
        <f>Detalhado!G102+Detalhado!G104</f>
        <v>6.1695392153228092E-2</v>
      </c>
      <c r="G15" s="18">
        <f>Detalhado!H102+Detalhado!H104</f>
        <v>1.9394768176886418E-2</v>
      </c>
      <c r="H15" s="18">
        <f>Detalhado!I102+Detalhado!I104</f>
        <v>9.0681142162268979E-3</v>
      </c>
      <c r="I15" s="18">
        <f>Detalhado!J102+Detalhado!J104</f>
        <v>1.9613727637314792E-2</v>
      </c>
      <c r="J15" s="18">
        <f>Detalhado!K102+Detalhado!K104</f>
        <v>2.1326325625691457E-2</v>
      </c>
    </row>
    <row r="16" spans="2:10" x14ac:dyDescent="0.25">
      <c r="B16" s="16" t="s">
        <v>77</v>
      </c>
      <c r="C16" s="18">
        <f>Detalhado!D111</f>
        <v>0</v>
      </c>
      <c r="D16" s="18">
        <f>Detalhado!E111</f>
        <v>0</v>
      </c>
      <c r="E16" s="18">
        <f>Detalhado!F111</f>
        <v>0</v>
      </c>
      <c r="F16" s="18">
        <f>Detalhado!G111</f>
        <v>0</v>
      </c>
      <c r="G16" s="18">
        <f>Detalhado!H111</f>
        <v>0</v>
      </c>
      <c r="H16" s="18">
        <f>Detalhado!I111</f>
        <v>0</v>
      </c>
      <c r="I16" s="18">
        <f>Detalhado!J111</f>
        <v>0</v>
      </c>
      <c r="J16" s="18">
        <f>Detalhado!K111</f>
        <v>-1.0828433174357346E-2</v>
      </c>
    </row>
    <row r="17" spans="2:12" x14ac:dyDescent="0.25">
      <c r="B17" s="16" t="s">
        <v>82</v>
      </c>
      <c r="C17" s="18">
        <f>Detalhado!D118</f>
        <v>8.27174992196179E-3</v>
      </c>
      <c r="D17" s="18">
        <f>Detalhado!E118</f>
        <v>8.7793550794335127E-3</v>
      </c>
      <c r="E17" s="18">
        <f>Detalhado!F118</f>
        <v>1.2016680334201934E-2</v>
      </c>
      <c r="F17" s="18">
        <f>Detalhado!G118</f>
        <v>5.6845527961061461E-3</v>
      </c>
      <c r="G17" s="18">
        <f>Detalhado!H118</f>
        <v>1.7925453329832642E-3</v>
      </c>
      <c r="H17" s="18">
        <f>Detalhado!I118</f>
        <v>3.7878416860191969E-3</v>
      </c>
      <c r="I17" s="18">
        <f>Detalhado!J118</f>
        <v>2.2926752800695865E-3</v>
      </c>
      <c r="J17" s="18">
        <f>Detalhado!K118</f>
        <v>2.6666544101476165E-3</v>
      </c>
    </row>
    <row r="18" spans="2:12" x14ac:dyDescent="0.25">
      <c r="B18" s="16" t="s">
        <v>28</v>
      </c>
      <c r="C18" s="18">
        <f>Detalhado!D125</f>
        <v>0.20601953664483788</v>
      </c>
      <c r="D18" s="18">
        <f>Detalhado!E125</f>
        <v>0.19441200264536843</v>
      </c>
      <c r="E18" s="18">
        <f>Detalhado!F125</f>
        <v>0.18545374915684804</v>
      </c>
      <c r="F18" s="18">
        <f>Detalhado!G125</f>
        <v>0.15459821330687201</v>
      </c>
      <c r="G18" s="18">
        <f>Detalhado!H125</f>
        <v>0.16062019315421164</v>
      </c>
      <c r="H18" s="18">
        <f>Detalhado!I125</f>
        <v>0.19508265337998612</v>
      </c>
      <c r="I18" s="18">
        <f>Detalhado!J125</f>
        <v>0.16274319401337517</v>
      </c>
      <c r="J18" s="18">
        <f>Detalhado!K125</f>
        <v>0.17565164877202091</v>
      </c>
    </row>
    <row r="19" spans="2:12" x14ac:dyDescent="0.25">
      <c r="B19" s="16" t="s">
        <v>0</v>
      </c>
      <c r="C19" s="18">
        <f>Detalhado!D132+Detalhado!D134</f>
        <v>0.10744593893752398</v>
      </c>
      <c r="D19" s="18">
        <f>Detalhado!E132+Detalhado!E134</f>
        <v>0.11318721763908816</v>
      </c>
      <c r="E19" s="18">
        <f>Detalhado!F132+Detalhado!F134</f>
        <v>0.11382192381295433</v>
      </c>
      <c r="F19" s="18">
        <f>Detalhado!G132+Detalhado!G134</f>
        <v>9.6973017748762075E-2</v>
      </c>
      <c r="G19" s="18">
        <f>Detalhado!H132+Detalhado!H134</f>
        <v>0.11924714693799036</v>
      </c>
      <c r="H19" s="18">
        <f>Detalhado!I132+Detalhado!I134</f>
        <v>0.13403577428736713</v>
      </c>
      <c r="I19" s="18">
        <f>Detalhado!J132+Detalhado!J134</f>
        <v>0.172462013993604</v>
      </c>
      <c r="J19" s="18">
        <f>Detalhado!K132+Detalhado!K134</f>
        <v>0.1828042993944736</v>
      </c>
    </row>
    <row r="20" spans="2:12" x14ac:dyDescent="0.25">
      <c r="B20" s="16" t="s">
        <v>31</v>
      </c>
      <c r="C20" s="18">
        <f>Detalhado!D148</f>
        <v>-1.3753086790094579E-2</v>
      </c>
      <c r="D20" s="18">
        <f>Detalhado!E148</f>
        <v>-1.192436743406348E-2</v>
      </c>
      <c r="E20" s="18">
        <f>Detalhado!F148</f>
        <v>-1.2325996376334946E-2</v>
      </c>
      <c r="F20" s="18">
        <f>Detalhado!G148</f>
        <v>9.1313910155244853E-3</v>
      </c>
      <c r="G20" s="18">
        <f>Detalhado!H148</f>
        <v>9.9753480105932366E-2</v>
      </c>
      <c r="H20" s="18">
        <f>Detalhado!I148</f>
        <v>-1.3354576437319396E-2</v>
      </c>
      <c r="I20" s="18">
        <f>Detalhado!J148</f>
        <v>-2.0502301580045741E-2</v>
      </c>
      <c r="J20" s="18">
        <f>Detalhado!K148</f>
        <v>-1.7880390551968588E-2</v>
      </c>
    </row>
    <row r="21" spans="2:12" x14ac:dyDescent="0.25">
      <c r="B21" s="16" t="s">
        <v>80</v>
      </c>
      <c r="C21" s="18">
        <f>Detalhado!D154</f>
        <v>0</v>
      </c>
      <c r="D21" s="18">
        <f>Detalhado!E154</f>
        <v>0</v>
      </c>
      <c r="E21" s="18">
        <f>Detalhado!F154</f>
        <v>0</v>
      </c>
      <c r="F21" s="18">
        <f>Detalhado!G154</f>
        <v>0</v>
      </c>
      <c r="G21" s="18">
        <f>Detalhado!H154</f>
        <v>0</v>
      </c>
      <c r="H21" s="18">
        <f>Detalhado!I154</f>
        <v>0</v>
      </c>
      <c r="I21" s="18">
        <f>Detalhado!J154</f>
        <v>0</v>
      </c>
      <c r="J21" s="18">
        <f>Detalhado!K154</f>
        <v>9.6499341379626313E-4</v>
      </c>
    </row>
    <row r="22" spans="2:12" x14ac:dyDescent="0.25">
      <c r="B22" s="16" t="s">
        <v>36</v>
      </c>
      <c r="C22" s="18">
        <f>Detalhado!D165</f>
        <v>2.1639243654770282E-2</v>
      </c>
      <c r="D22" s="18">
        <f>Detalhado!E165</f>
        <v>3.0304564382468261E-2</v>
      </c>
      <c r="E22" s="18">
        <f>Detalhado!F165</f>
        <v>2.400919281081421E-2</v>
      </c>
      <c r="F22" s="18">
        <f>Detalhado!G165</f>
        <v>1.7651917144770463E-2</v>
      </c>
      <c r="G22" s="18">
        <f>Detalhado!H165</f>
        <v>2.453156432103288E-2</v>
      </c>
      <c r="H22" s="18">
        <f>Detalhado!I165</f>
        <v>2.9830977509758334E-2</v>
      </c>
      <c r="I22" s="18">
        <f>Detalhado!J165</f>
        <v>3.1090769271188555E-2</v>
      </c>
      <c r="J22" s="18">
        <f>Detalhado!K165</f>
        <v>2.5303793097887134E-2</v>
      </c>
    </row>
    <row r="23" spans="2:12" x14ac:dyDescent="0.25">
      <c r="B23" s="16" t="s">
        <v>40</v>
      </c>
      <c r="C23" s="18">
        <f>Detalhado!D181</f>
        <v>3.5299372227627954E-2</v>
      </c>
      <c r="D23" s="18">
        <f>Detalhado!E181</f>
        <v>3.5395852139713746E-2</v>
      </c>
      <c r="E23" s="18">
        <f>Detalhado!F181</f>
        <v>3.6864569238952823E-2</v>
      </c>
      <c r="F23" s="18">
        <f>Detalhado!G181</f>
        <v>3.1101284072541844E-2</v>
      </c>
      <c r="G23" s="18">
        <f>Detalhado!H181</f>
        <v>3.0882622924617985E-2</v>
      </c>
      <c r="H23" s="18">
        <f>Detalhado!I181</f>
        <v>2.9097046379137379E-2</v>
      </c>
      <c r="I23" s="18">
        <f>Detalhado!J181</f>
        <v>3.5595937072469927E-2</v>
      </c>
      <c r="J23" s="18">
        <f>Detalhado!K181</f>
        <v>4.1644657218121314E-2</v>
      </c>
    </row>
    <row r="24" spans="2:12" x14ac:dyDescent="0.25">
      <c r="B24" s="16" t="s">
        <v>2</v>
      </c>
      <c r="C24" s="18">
        <f>Detalhado!D193+Detalhado!D195</f>
        <v>5.5941193654374666E-2</v>
      </c>
      <c r="D24" s="18">
        <f>Detalhado!E193+Detalhado!E195</f>
        <v>4.8677202518947103E-2</v>
      </c>
      <c r="E24" s="18">
        <f>Detalhado!F193+Detalhado!F195</f>
        <v>4.9476647413293759E-2</v>
      </c>
      <c r="F24" s="18">
        <f>Detalhado!G193+Detalhado!G195</f>
        <v>9.9185177561627688E-2</v>
      </c>
      <c r="G24" s="18">
        <f>Detalhado!H193+Detalhado!H195</f>
        <v>5.8085691462527247E-2</v>
      </c>
      <c r="H24" s="18">
        <f>Detalhado!I193+Detalhado!I195</f>
        <v>6.0122836933015206E-2</v>
      </c>
      <c r="I24" s="18">
        <f>Detalhado!J193+Detalhado!J195</f>
        <v>3.7556307304696078E-2</v>
      </c>
      <c r="J24" s="18">
        <f>Detalhado!K193+Detalhado!K195</f>
        <v>3.9875204737184478E-2</v>
      </c>
    </row>
    <row r="25" spans="2:12" x14ac:dyDescent="0.25">
      <c r="B25" s="14" t="s">
        <v>68</v>
      </c>
      <c r="C25" s="35">
        <f>Detalhado!D199</f>
        <v>-7.5893579348985593E-2</v>
      </c>
      <c r="D25" s="35">
        <f>Detalhado!E199</f>
        <v>-6.2903023211917555E-2</v>
      </c>
      <c r="E25" s="35">
        <f>Detalhado!F199</f>
        <v>1.3639569299779152E-2</v>
      </c>
      <c r="F25" s="35">
        <f>Detalhado!G199</f>
        <v>-2.8494245094749258E-2</v>
      </c>
      <c r="G25" s="35">
        <f>Detalhado!H199</f>
        <v>7.092955535586018E-2</v>
      </c>
      <c r="H25" s="35">
        <f>Detalhado!I199</f>
        <v>-2.2767163783700403E-2</v>
      </c>
      <c r="I25" s="35">
        <f>Detalhado!J199</f>
        <v>2.1886152603611011E-2</v>
      </c>
      <c r="J25" s="35">
        <f>Detalhado!K199</f>
        <v>1.4996181938303004E-2</v>
      </c>
    </row>
    <row r="26" spans="2:12" x14ac:dyDescent="0.25">
      <c r="C26" s="30">
        <f t="shared" ref="C26:J26" si="0">SUM(C7:C24)-C25</f>
        <v>1</v>
      </c>
      <c r="D26" s="30">
        <f t="shared" si="0"/>
        <v>1</v>
      </c>
      <c r="E26" s="30">
        <f t="shared" si="0"/>
        <v>1.0000000000000002</v>
      </c>
      <c r="F26" s="30">
        <f t="shared" si="0"/>
        <v>1</v>
      </c>
      <c r="G26" s="30">
        <f t="shared" si="0"/>
        <v>0.99999999999999978</v>
      </c>
      <c r="H26" s="30">
        <f t="shared" si="0"/>
        <v>1</v>
      </c>
      <c r="I26" s="30">
        <f t="shared" si="0"/>
        <v>1.0000000000000004</v>
      </c>
      <c r="J26" s="30">
        <f t="shared" si="0"/>
        <v>0.99999999999999989</v>
      </c>
    </row>
    <row r="27" spans="2:12" x14ac:dyDescent="0.25">
      <c r="L27" s="38"/>
    </row>
    <row r="28" spans="2:12" x14ac:dyDescent="0.25">
      <c r="B28" s="20" t="s">
        <v>64</v>
      </c>
      <c r="C28" s="32">
        <v>409</v>
      </c>
      <c r="D28" s="32">
        <v>420</v>
      </c>
      <c r="E28" s="32">
        <v>437</v>
      </c>
      <c r="F28" s="32">
        <v>454.5</v>
      </c>
      <c r="G28" s="32">
        <v>454.5</v>
      </c>
      <c r="H28" s="32">
        <v>497</v>
      </c>
      <c r="I28" s="32">
        <v>534</v>
      </c>
      <c r="J28" s="32">
        <v>562</v>
      </c>
    </row>
    <row r="30" spans="2:12" x14ac:dyDescent="0.25">
      <c r="B30" s="39" t="s">
        <v>69</v>
      </c>
    </row>
    <row r="31" spans="2:12" x14ac:dyDescent="0.25">
      <c r="B31" s="16" t="s">
        <v>5</v>
      </c>
      <c r="C31" s="36">
        <f t="shared" ref="C31:J40" si="1">C7*C$28</f>
        <v>22.832855465188729</v>
      </c>
      <c r="D31" s="36">
        <f t="shared" si="1"/>
        <v>18.667610451341265</v>
      </c>
      <c r="E31" s="36">
        <f t="shared" si="1"/>
        <v>18.56816115973351</v>
      </c>
      <c r="F31" s="36">
        <f t="shared" si="1"/>
        <v>18.53534564214009</v>
      </c>
      <c r="G31" s="36">
        <f t="shared" si="1"/>
        <v>18.120755353376545</v>
      </c>
      <c r="H31" s="36">
        <f t="shared" si="1"/>
        <v>22.055092683034264</v>
      </c>
      <c r="I31" s="36">
        <f t="shared" si="1"/>
        <v>23.28136152912386</v>
      </c>
      <c r="J31" s="36">
        <f>J7*J$28</f>
        <v>27.374611578641122</v>
      </c>
    </row>
    <row r="32" spans="2:12" x14ac:dyDescent="0.25">
      <c r="B32" s="16" t="s">
        <v>14</v>
      </c>
      <c r="C32" s="36">
        <f t="shared" si="1"/>
        <v>3.790271630922232</v>
      </c>
      <c r="D32" s="36">
        <f t="shared" si="1"/>
        <v>4.52157470837352</v>
      </c>
      <c r="E32" s="36">
        <f t="shared" si="1"/>
        <v>4.3621049167083825</v>
      </c>
      <c r="F32" s="36">
        <f t="shared" si="1"/>
        <v>4.1489711879277928</v>
      </c>
      <c r="G32" s="36">
        <f t="shared" si="1"/>
        <v>3.747055875590755</v>
      </c>
      <c r="H32" s="36">
        <f t="shared" si="1"/>
        <v>5.8131869846429902</v>
      </c>
      <c r="I32" s="36">
        <f t="shared" si="1"/>
        <v>6.6939502308814838</v>
      </c>
      <c r="J32" s="36">
        <f t="shared" si="1"/>
        <v>8.1691551166541121</v>
      </c>
    </row>
    <row r="33" spans="2:10" x14ac:dyDescent="0.25">
      <c r="B33" s="16" t="s">
        <v>8</v>
      </c>
      <c r="C33" s="36">
        <f t="shared" si="1"/>
        <v>64.599672588592313</v>
      </c>
      <c r="D33" s="36">
        <f t="shared" si="1"/>
        <v>62.141712332690709</v>
      </c>
      <c r="E33" s="36">
        <f t="shared" si="1"/>
        <v>75.593088943317611</v>
      </c>
      <c r="F33" s="36">
        <f t="shared" si="1"/>
        <v>86.812622553893192</v>
      </c>
      <c r="G33" s="36">
        <f t="shared" si="1"/>
        <v>81.398422716957171</v>
      </c>
      <c r="H33" s="36">
        <f t="shared" si="1"/>
        <v>80.760458177283709</v>
      </c>
      <c r="I33" s="36">
        <f t="shared" si="1"/>
        <v>79.231153218442827</v>
      </c>
      <c r="J33" s="36">
        <f t="shared" si="1"/>
        <v>82.119564751301908</v>
      </c>
    </row>
    <row r="34" spans="2:10" x14ac:dyDescent="0.25">
      <c r="B34" s="16" t="s">
        <v>19</v>
      </c>
      <c r="C34" s="36">
        <f t="shared" si="1"/>
        <v>6.0826545686910629</v>
      </c>
      <c r="D34" s="36">
        <f t="shared" si="1"/>
        <v>4.5963750138761013</v>
      </c>
      <c r="E34" s="36">
        <f t="shared" si="1"/>
        <v>4.4319112306739896</v>
      </c>
      <c r="F34" s="36">
        <f t="shared" si="1"/>
        <v>4.8932636798513407</v>
      </c>
      <c r="G34" s="36">
        <f t="shared" si="1"/>
        <v>5.5595225384792908</v>
      </c>
      <c r="H34" s="36">
        <f t="shared" si="1"/>
        <v>6.7561689907598739</v>
      </c>
      <c r="I34" s="36">
        <f t="shared" si="1"/>
        <v>7.7764926891069361</v>
      </c>
      <c r="J34" s="36">
        <f t="shared" si="1"/>
        <v>6.7444163850763008</v>
      </c>
    </row>
    <row r="35" spans="2:10" x14ac:dyDescent="0.25">
      <c r="B35" s="16" t="s">
        <v>21</v>
      </c>
      <c r="C35" s="36">
        <f t="shared" si="1"/>
        <v>42.666058786136986</v>
      </c>
      <c r="D35" s="36">
        <f t="shared" si="1"/>
        <v>49.412529640557636</v>
      </c>
      <c r="E35" s="36">
        <f t="shared" si="1"/>
        <v>59.625267840971347</v>
      </c>
      <c r="F35" s="36">
        <f t="shared" si="1"/>
        <v>42.716139567378676</v>
      </c>
      <c r="G35" s="36">
        <f t="shared" si="1"/>
        <v>49.009898344377802</v>
      </c>
      <c r="H35" s="36">
        <f t="shared" si="1"/>
        <v>62.770728377692429</v>
      </c>
      <c r="I35" s="36">
        <f t="shared" si="1"/>
        <v>84.946485217525378</v>
      </c>
      <c r="J35" s="36">
        <f t="shared" si="1"/>
        <v>81.639756706404881</v>
      </c>
    </row>
    <row r="36" spans="2:10" x14ac:dyDescent="0.25">
      <c r="B36" s="16" t="s">
        <v>74</v>
      </c>
      <c r="C36" s="36">
        <f t="shared" si="1"/>
        <v>6.9444289801847736</v>
      </c>
      <c r="D36" s="36">
        <f t="shared" si="1"/>
        <v>6.7129158555717447</v>
      </c>
      <c r="E36" s="36">
        <f t="shared" si="1"/>
        <v>5.6661771137164401</v>
      </c>
      <c r="F36" s="36">
        <f t="shared" si="1"/>
        <v>5.2381723453612175</v>
      </c>
      <c r="G36" s="36">
        <f t="shared" si="1"/>
        <v>3.8981034562676786</v>
      </c>
      <c r="H36" s="36">
        <f t="shared" si="1"/>
        <v>5.9858619433896703</v>
      </c>
      <c r="I36" s="36">
        <f t="shared" si="1"/>
        <v>9.6952974834962244</v>
      </c>
      <c r="J36" s="36">
        <f t="shared" si="1"/>
        <v>11.890363779214141</v>
      </c>
    </row>
    <row r="37" spans="2:10" x14ac:dyDescent="0.25">
      <c r="B37" s="16" t="s">
        <v>76</v>
      </c>
      <c r="C37" s="36">
        <f t="shared" si="1"/>
        <v>12.249810791780154</v>
      </c>
      <c r="D37" s="36">
        <f t="shared" si="1"/>
        <v>25.715449711731296</v>
      </c>
      <c r="E37" s="36">
        <f t="shared" si="1"/>
        <v>30.327738682949789</v>
      </c>
      <c r="F37" s="36">
        <f t="shared" si="1"/>
        <v>23.706976543779415</v>
      </c>
      <c r="G37" s="36">
        <f t="shared" si="1"/>
        <v>44.931258270622891</v>
      </c>
      <c r="H37" s="36">
        <f t="shared" si="1"/>
        <v>51.192477991416645</v>
      </c>
      <c r="I37" s="36">
        <f t="shared" si="1"/>
        <v>67.029729196419169</v>
      </c>
      <c r="J37" s="36">
        <f t="shared" si="1"/>
        <v>57.976162180605414</v>
      </c>
    </row>
    <row r="38" spans="2:10" x14ac:dyDescent="0.25">
      <c r="B38" s="16" t="s">
        <v>25</v>
      </c>
      <c r="C38" s="36">
        <f t="shared" si="1"/>
        <v>40.277727999376864</v>
      </c>
      <c r="D38" s="36">
        <f t="shared" si="1"/>
        <v>38.844354748780439</v>
      </c>
      <c r="E38" s="36">
        <f t="shared" si="1"/>
        <v>37.640463920734064</v>
      </c>
      <c r="F38" s="36">
        <f t="shared" si="1"/>
        <v>39.146354218262523</v>
      </c>
      <c r="G38" s="36">
        <f t="shared" si="1"/>
        <v>46.319474710411555</v>
      </c>
      <c r="H38" s="36">
        <f t="shared" si="1"/>
        <v>27.858422478048467</v>
      </c>
      <c r="I38" s="36">
        <f t="shared" si="1"/>
        <v>31.617595447245453</v>
      </c>
      <c r="J38" s="36">
        <f t="shared" si="1"/>
        <v>35.134664597464067</v>
      </c>
    </row>
    <row r="39" spans="2:10" x14ac:dyDescent="0.25">
      <c r="B39" s="16" t="s">
        <v>6</v>
      </c>
      <c r="C39" s="36">
        <f t="shared" si="1"/>
        <v>6.3826904007319669</v>
      </c>
      <c r="D39" s="36">
        <f t="shared" si="1"/>
        <v>7.0588404602705141</v>
      </c>
      <c r="E39" s="36">
        <f t="shared" si="1"/>
        <v>27.874151062449293</v>
      </c>
      <c r="F39" s="36">
        <f t="shared" si="1"/>
        <v>28.040555733642169</v>
      </c>
      <c r="G39" s="36">
        <f t="shared" si="1"/>
        <v>8.8149221363948769</v>
      </c>
      <c r="H39" s="36">
        <f t="shared" si="1"/>
        <v>4.5068527654647683</v>
      </c>
      <c r="I39" s="36">
        <f t="shared" si="1"/>
        <v>10.4737305583261</v>
      </c>
      <c r="J39" s="36">
        <f t="shared" si="1"/>
        <v>11.985395001638599</v>
      </c>
    </row>
    <row r="40" spans="2:10" x14ac:dyDescent="0.25">
      <c r="B40" s="16" t="s">
        <v>77</v>
      </c>
      <c r="C40" s="36">
        <f t="shared" si="1"/>
        <v>0</v>
      </c>
      <c r="D40" s="36">
        <f t="shared" si="1"/>
        <v>0</v>
      </c>
      <c r="E40" s="36">
        <f t="shared" si="1"/>
        <v>0</v>
      </c>
      <c r="F40" s="36">
        <f t="shared" si="1"/>
        <v>0</v>
      </c>
      <c r="G40" s="36">
        <f t="shared" si="1"/>
        <v>0</v>
      </c>
      <c r="H40" s="36">
        <f t="shared" si="1"/>
        <v>0</v>
      </c>
      <c r="I40" s="36">
        <f t="shared" si="1"/>
        <v>0</v>
      </c>
      <c r="J40" s="36">
        <f t="shared" si="1"/>
        <v>-6.0855794439888289</v>
      </c>
    </row>
    <row r="41" spans="2:10" x14ac:dyDescent="0.25">
      <c r="B41" s="16" t="s">
        <v>82</v>
      </c>
      <c r="C41" s="36">
        <f t="shared" ref="C41:J49" si="2">C17*C$28</f>
        <v>3.3831457180823721</v>
      </c>
      <c r="D41" s="36">
        <f t="shared" si="2"/>
        <v>3.6873291333620752</v>
      </c>
      <c r="E41" s="36">
        <f t="shared" si="2"/>
        <v>5.2512893060462451</v>
      </c>
      <c r="F41" s="36">
        <f t="shared" si="2"/>
        <v>2.5836292458302434</v>
      </c>
      <c r="G41" s="36">
        <f t="shared" si="2"/>
        <v>0.81471185384089362</v>
      </c>
      <c r="H41" s="36">
        <f t="shared" si="2"/>
        <v>1.8825573179515409</v>
      </c>
      <c r="I41" s="36">
        <f t="shared" si="2"/>
        <v>1.2242885995571593</v>
      </c>
      <c r="J41" s="36">
        <f t="shared" si="2"/>
        <v>1.4986597785029605</v>
      </c>
    </row>
    <row r="42" spans="2:10" x14ac:dyDescent="0.25">
      <c r="B42" s="16" t="s">
        <v>28</v>
      </c>
      <c r="C42" s="36">
        <f t="shared" si="2"/>
        <v>84.2619904877387</v>
      </c>
      <c r="D42" s="36">
        <f t="shared" si="2"/>
        <v>81.653041111054733</v>
      </c>
      <c r="E42" s="36">
        <f t="shared" si="2"/>
        <v>81.043288381542595</v>
      </c>
      <c r="F42" s="36">
        <f t="shared" si="2"/>
        <v>70.264887947973335</v>
      </c>
      <c r="G42" s="36">
        <f t="shared" si="2"/>
        <v>73.001877788589184</v>
      </c>
      <c r="H42" s="36">
        <f t="shared" si="2"/>
        <v>96.956078729853104</v>
      </c>
      <c r="I42" s="36">
        <f t="shared" si="2"/>
        <v>86.904865603142341</v>
      </c>
      <c r="J42" s="36">
        <f t="shared" si="2"/>
        <v>98.716226609875747</v>
      </c>
    </row>
    <row r="43" spans="2:10" x14ac:dyDescent="0.25">
      <c r="B43" s="16" t="s">
        <v>0</v>
      </c>
      <c r="C43" s="36">
        <f t="shared" si="2"/>
        <v>43.945389025447305</v>
      </c>
      <c r="D43" s="36">
        <f t="shared" si="2"/>
        <v>47.538631408417032</v>
      </c>
      <c r="E43" s="36">
        <f t="shared" si="2"/>
        <v>49.740180706261043</v>
      </c>
      <c r="F43" s="36">
        <f t="shared" si="2"/>
        <v>44.07423656681236</v>
      </c>
      <c r="G43" s="36">
        <f t="shared" si="2"/>
        <v>54.197828283316618</v>
      </c>
      <c r="H43" s="36">
        <f t="shared" si="2"/>
        <v>66.615779820821459</v>
      </c>
      <c r="I43" s="36">
        <f t="shared" si="2"/>
        <v>92.094715472584539</v>
      </c>
      <c r="J43" s="36">
        <f t="shared" si="2"/>
        <v>102.73601625969417</v>
      </c>
    </row>
    <row r="44" spans="2:10" x14ac:dyDescent="0.25">
      <c r="B44" s="16" t="s">
        <v>31</v>
      </c>
      <c r="C44" s="36">
        <f t="shared" si="2"/>
        <v>-5.625012497148683</v>
      </c>
      <c r="D44" s="36">
        <f t="shared" si="2"/>
        <v>-5.0082343223066612</v>
      </c>
      <c r="E44" s="36">
        <f t="shared" si="2"/>
        <v>-5.3864604164583714</v>
      </c>
      <c r="F44" s="36">
        <f t="shared" si="2"/>
        <v>4.1502172165558786</v>
      </c>
      <c r="G44" s="36">
        <f t="shared" si="2"/>
        <v>45.337956708146258</v>
      </c>
      <c r="H44" s="36">
        <f t="shared" si="2"/>
        <v>-6.6372244893477399</v>
      </c>
      <c r="I44" s="36">
        <f t="shared" si="2"/>
        <v>-10.948229043744426</v>
      </c>
      <c r="J44" s="36">
        <f t="shared" si="2"/>
        <v>-10.048779490206346</v>
      </c>
    </row>
    <row r="45" spans="2:10" x14ac:dyDescent="0.25">
      <c r="B45" s="16" t="s">
        <v>80</v>
      </c>
      <c r="C45" s="36">
        <f t="shared" si="2"/>
        <v>0</v>
      </c>
      <c r="D45" s="36">
        <f t="shared" si="2"/>
        <v>0</v>
      </c>
      <c r="E45" s="36">
        <f t="shared" si="2"/>
        <v>0</v>
      </c>
      <c r="F45" s="36">
        <f t="shared" si="2"/>
        <v>0</v>
      </c>
      <c r="G45" s="36">
        <f t="shared" si="2"/>
        <v>0</v>
      </c>
      <c r="H45" s="36">
        <f t="shared" si="2"/>
        <v>0</v>
      </c>
      <c r="I45" s="36">
        <f t="shared" si="2"/>
        <v>0</v>
      </c>
      <c r="J45" s="36">
        <f t="shared" si="2"/>
        <v>0.5423262985534999</v>
      </c>
    </row>
    <row r="46" spans="2:10" x14ac:dyDescent="0.25">
      <c r="B46" s="16" t="s">
        <v>36</v>
      </c>
      <c r="C46" s="36">
        <f t="shared" si="2"/>
        <v>8.8504506548010458</v>
      </c>
      <c r="D46" s="36">
        <f t="shared" si="2"/>
        <v>12.727917040636669</v>
      </c>
      <c r="E46" s="36">
        <f t="shared" si="2"/>
        <v>10.492017258325809</v>
      </c>
      <c r="F46" s="36">
        <f t="shared" si="2"/>
        <v>8.0227963422981752</v>
      </c>
      <c r="G46" s="36">
        <f t="shared" si="2"/>
        <v>11.149595983909444</v>
      </c>
      <c r="H46" s="36">
        <f t="shared" si="2"/>
        <v>14.825995822349892</v>
      </c>
      <c r="I46" s="36">
        <f t="shared" si="2"/>
        <v>16.602470790814689</v>
      </c>
      <c r="J46" s="36">
        <f t="shared" si="2"/>
        <v>14.220731721012569</v>
      </c>
    </row>
    <row r="47" spans="2:10" x14ac:dyDescent="0.25">
      <c r="B47" s="16" t="s">
        <v>40</v>
      </c>
      <c r="C47" s="36">
        <f t="shared" si="2"/>
        <v>14.437443241099833</v>
      </c>
      <c r="D47" s="36">
        <f t="shared" si="2"/>
        <v>14.866257898679773</v>
      </c>
      <c r="E47" s="36">
        <f t="shared" si="2"/>
        <v>16.109816757422383</v>
      </c>
      <c r="F47" s="36">
        <f t="shared" si="2"/>
        <v>14.135533610970269</v>
      </c>
      <c r="G47" s="36">
        <f t="shared" si="2"/>
        <v>14.036152119238874</v>
      </c>
      <c r="H47" s="36">
        <f t="shared" si="2"/>
        <v>14.461232050431278</v>
      </c>
      <c r="I47" s="36">
        <f t="shared" si="2"/>
        <v>19.008230396698941</v>
      </c>
      <c r="J47" s="36">
        <f t="shared" si="2"/>
        <v>23.404297356584177</v>
      </c>
    </row>
    <row r="48" spans="2:10" x14ac:dyDescent="0.25">
      <c r="B48" s="16" t="s">
        <v>2</v>
      </c>
      <c r="C48" s="36">
        <f t="shared" si="2"/>
        <v>22.879948204639238</v>
      </c>
      <c r="D48" s="36">
        <f t="shared" si="2"/>
        <v>20.444425057957783</v>
      </c>
      <c r="E48" s="36">
        <f t="shared" si="2"/>
        <v>21.621294919609372</v>
      </c>
      <c r="F48" s="36">
        <f t="shared" si="2"/>
        <v>45.079663201759786</v>
      </c>
      <c r="G48" s="36">
        <f t="shared" si="2"/>
        <v>26.399946769718635</v>
      </c>
      <c r="H48" s="36">
        <f t="shared" si="2"/>
        <v>29.881049955708558</v>
      </c>
      <c r="I48" s="36">
        <f t="shared" si="2"/>
        <v>20.055068100707707</v>
      </c>
      <c r="J48" s="36">
        <f t="shared" si="2"/>
        <v>22.409865062297676</v>
      </c>
    </row>
    <row r="49" spans="2:10" x14ac:dyDescent="0.25">
      <c r="B49" s="14" t="s">
        <v>68</v>
      </c>
      <c r="C49" s="37">
        <f t="shared" si="2"/>
        <v>-31.040473953735109</v>
      </c>
      <c r="D49" s="37">
        <f t="shared" si="2"/>
        <v>-26.419269749005373</v>
      </c>
      <c r="E49" s="37">
        <f t="shared" si="2"/>
        <v>5.960491784003489</v>
      </c>
      <c r="F49" s="37">
        <f t="shared" si="2"/>
        <v>-12.950634395563538</v>
      </c>
      <c r="G49" s="37">
        <f t="shared" si="2"/>
        <v>32.237482909238452</v>
      </c>
      <c r="H49" s="37">
        <f t="shared" si="2"/>
        <v>-11.3152804004991</v>
      </c>
      <c r="I49" s="37">
        <f t="shared" si="2"/>
        <v>11.68720549032828</v>
      </c>
      <c r="J49" s="37">
        <f>J25*J$28</f>
        <v>8.4278542493262876</v>
      </c>
    </row>
    <row r="50" spans="2:10" x14ac:dyDescent="0.25">
      <c r="C50" s="38">
        <f t="shared" ref="C50:J50" si="3">SUM(C31:C48)-C49</f>
        <v>408.99999999999994</v>
      </c>
      <c r="D50" s="38">
        <f t="shared" si="3"/>
        <v>420</v>
      </c>
      <c r="E50" s="38">
        <f t="shared" si="3"/>
        <v>437.00000000000006</v>
      </c>
      <c r="F50" s="38">
        <f t="shared" si="3"/>
        <v>454.5</v>
      </c>
      <c r="G50" s="38">
        <f t="shared" si="3"/>
        <v>454.49999999999994</v>
      </c>
      <c r="H50" s="38">
        <f t="shared" si="3"/>
        <v>496.99999999999994</v>
      </c>
      <c r="I50" s="38">
        <f t="shared" si="3"/>
        <v>534</v>
      </c>
      <c r="J50" s="38">
        <f t="shared" si="3"/>
        <v>561.99999999999989</v>
      </c>
    </row>
    <row r="51" spans="2:10" x14ac:dyDescent="0.25">
      <c r="C51" s="1" t="b">
        <f t="shared" ref="C51:J51" si="4">C50=C28</f>
        <v>1</v>
      </c>
      <c r="D51" s="1" t="b">
        <f t="shared" si="4"/>
        <v>1</v>
      </c>
      <c r="E51" s="1" t="b">
        <f>E50=E28</f>
        <v>1</v>
      </c>
      <c r="F51" s="1" t="b">
        <f t="shared" si="4"/>
        <v>1</v>
      </c>
      <c r="G51" s="1" t="b">
        <f t="shared" si="4"/>
        <v>1</v>
      </c>
      <c r="H51" s="1" t="b">
        <f t="shared" si="4"/>
        <v>1</v>
      </c>
      <c r="I51" s="1" t="b">
        <f t="shared" si="4"/>
        <v>1</v>
      </c>
      <c r="J51" s="1" t="b">
        <f t="shared" si="4"/>
        <v>1</v>
      </c>
    </row>
    <row r="53" spans="2:10" x14ac:dyDescent="0.25">
      <c r="B53" s="39" t="s">
        <v>71</v>
      </c>
      <c r="C53" s="8">
        <v>2</v>
      </c>
      <c r="D53" s="8">
        <v>3</v>
      </c>
      <c r="E53" s="8">
        <v>4</v>
      </c>
      <c r="F53" s="8">
        <v>5</v>
      </c>
      <c r="G53" s="8">
        <v>6</v>
      </c>
      <c r="H53" s="8">
        <v>7</v>
      </c>
      <c r="I53" s="8">
        <v>8</v>
      </c>
      <c r="J53" s="8">
        <v>9</v>
      </c>
    </row>
    <row r="54" spans="2:10" x14ac:dyDescent="0.25">
      <c r="B54" s="41" t="s">
        <v>70</v>
      </c>
      <c r="C54" s="43">
        <v>2017</v>
      </c>
      <c r="D54" s="43">
        <v>2018</v>
      </c>
      <c r="E54" s="43">
        <v>2019</v>
      </c>
      <c r="F54" s="43">
        <v>2020</v>
      </c>
      <c r="G54" s="43">
        <v>2021</v>
      </c>
      <c r="H54" s="43">
        <v>2022</v>
      </c>
      <c r="I54" s="43" t="s">
        <v>91</v>
      </c>
      <c r="J54" s="43" t="s">
        <v>73</v>
      </c>
    </row>
    <row r="55" spans="2:10" x14ac:dyDescent="0.25">
      <c r="B55" s="42" t="s">
        <v>2</v>
      </c>
      <c r="C55" s="44">
        <f>VLOOKUP($B55,$B$7:$J$25,C$53,0)</f>
        <v>5.5941193654374666E-2</v>
      </c>
      <c r="D55" s="44">
        <f t="shared" ref="D55:H55" si="5">VLOOKUP($B55,$B$7:$J$25,D$53,0)</f>
        <v>4.8677202518947103E-2</v>
      </c>
      <c r="E55" s="44">
        <f t="shared" si="5"/>
        <v>4.9476647413293759E-2</v>
      </c>
      <c r="F55" s="44">
        <f t="shared" si="5"/>
        <v>9.9185177561627688E-2</v>
      </c>
      <c r="G55" s="44">
        <f t="shared" si="5"/>
        <v>5.8085691462527247E-2</v>
      </c>
      <c r="H55" s="44">
        <f t="shared" si="5"/>
        <v>6.0122836933015206E-2</v>
      </c>
      <c r="I55" s="44">
        <f>VLOOKUP($B55,$B$7:$J$25,I$53,0)</f>
        <v>3.7556307304696078E-2</v>
      </c>
      <c r="J55" s="44">
        <f>VLOOKUP($B55,$B$7:$J$25,J$53,0)</f>
        <v>3.9875204737184478E-2</v>
      </c>
    </row>
    <row r="56" spans="2:10" x14ac:dyDescent="0.25">
      <c r="B56" s="40"/>
      <c r="C56" s="45">
        <f t="shared" ref="C56:J56" si="6">VLOOKUP($B55,$B$31:$J$49,C$53,0)</f>
        <v>22.879948204639238</v>
      </c>
      <c r="D56" s="45">
        <f t="shared" si="6"/>
        <v>20.444425057957783</v>
      </c>
      <c r="E56" s="45">
        <f t="shared" si="6"/>
        <v>21.621294919609372</v>
      </c>
      <c r="F56" s="45">
        <f t="shared" si="6"/>
        <v>45.079663201759786</v>
      </c>
      <c r="G56" s="45">
        <f t="shared" si="6"/>
        <v>26.399946769718635</v>
      </c>
      <c r="H56" s="45">
        <f t="shared" si="6"/>
        <v>29.881049955708558</v>
      </c>
      <c r="I56" s="45">
        <f t="shared" si="6"/>
        <v>20.055068100707707</v>
      </c>
      <c r="J56" s="45">
        <f t="shared" si="6"/>
        <v>22.409865062297676</v>
      </c>
    </row>
    <row r="79" spans="2:7" ht="16.8" x14ac:dyDescent="0.3">
      <c r="B79" s="62" t="s">
        <v>93</v>
      </c>
      <c r="C79" s="63"/>
      <c r="D79" s="63"/>
      <c r="E79" s="64"/>
      <c r="F79" s="63"/>
      <c r="G79" s="65"/>
    </row>
  </sheetData>
  <dataValidations disablePrompts="1" count="1">
    <dataValidation type="list" allowBlank="1" showInputMessage="1" showErrorMessage="1" sqref="B55">
      <formula1>$B$7:$B$25</formula1>
    </dataValidation>
  </dataValidations>
  <pageMargins left="0.511811024" right="0.511811024" top="0.78740157499999996" bottom="0.78740157499999996" header="0.31496062000000002" footer="0.31496062000000002"/>
  <pageSetup paperSize="9" scale="84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07"/>
  <sheetViews>
    <sheetView showGridLines="0" tabSelected="1" topLeftCell="A67" zoomScaleNormal="100" workbookViewId="0">
      <selection activeCell="E191" sqref="E191"/>
    </sheetView>
  </sheetViews>
  <sheetFormatPr defaultColWidth="9.109375" defaultRowHeight="13.2" x14ac:dyDescent="0.25"/>
  <cols>
    <col min="1" max="1" width="5" style="1" bestFit="1" customWidth="1"/>
    <col min="2" max="2" width="40.6640625" style="1" customWidth="1"/>
    <col min="3" max="3" width="15.6640625" style="1" customWidth="1"/>
    <col min="4" max="11" width="14.6640625" style="1" customWidth="1"/>
    <col min="12" max="12" width="12.88671875" style="1" bestFit="1" customWidth="1"/>
    <col min="13" max="14" width="14" style="1" bestFit="1" customWidth="1"/>
    <col min="15" max="16384" width="9.109375" style="1"/>
  </cols>
  <sheetData>
    <row r="1" spans="1:12" x14ac:dyDescent="0.25">
      <c r="D1" s="56" t="s">
        <v>83</v>
      </c>
      <c r="E1" s="56" t="s">
        <v>84</v>
      </c>
      <c r="F1" s="56" t="s">
        <v>85</v>
      </c>
      <c r="G1" s="56" t="s">
        <v>86</v>
      </c>
      <c r="H1" s="56" t="s">
        <v>92</v>
      </c>
      <c r="I1" s="56" t="s">
        <v>87</v>
      </c>
      <c r="J1" s="56" t="s">
        <v>88</v>
      </c>
      <c r="K1" s="56" t="s">
        <v>89</v>
      </c>
    </row>
    <row r="2" spans="1:12" x14ac:dyDescent="0.25">
      <c r="B2" s="20" t="s">
        <v>64</v>
      </c>
      <c r="C2" s="20"/>
      <c r="D2" s="32">
        <v>409</v>
      </c>
      <c r="E2" s="32">
        <v>420</v>
      </c>
      <c r="F2" s="32">
        <v>437</v>
      </c>
      <c r="G2" s="32">
        <v>454.5</v>
      </c>
      <c r="H2" s="32">
        <v>454.5</v>
      </c>
      <c r="I2" s="32">
        <v>497</v>
      </c>
      <c r="J2" s="32">
        <v>534</v>
      </c>
      <c r="K2" s="32">
        <v>562</v>
      </c>
    </row>
    <row r="3" spans="1:12" x14ac:dyDescent="0.25">
      <c r="D3" s="2"/>
      <c r="E3" s="2"/>
      <c r="F3" s="2"/>
      <c r="G3" s="2"/>
      <c r="H3" s="2"/>
      <c r="I3" s="2"/>
      <c r="J3" s="2"/>
      <c r="K3" s="2"/>
    </row>
    <row r="4" spans="1:12" x14ac:dyDescent="0.25">
      <c r="B4" s="46" t="s">
        <v>72</v>
      </c>
      <c r="D4" s="3">
        <v>2017</v>
      </c>
      <c r="E4" s="3">
        <v>2018</v>
      </c>
      <c r="F4" s="3">
        <v>2019</v>
      </c>
      <c r="G4" s="3">
        <v>2020</v>
      </c>
      <c r="H4" s="3">
        <v>2021</v>
      </c>
      <c r="I4" s="3">
        <v>2022</v>
      </c>
      <c r="J4" s="3" t="s">
        <v>91</v>
      </c>
      <c r="K4" s="3" t="s">
        <v>73</v>
      </c>
    </row>
    <row r="6" spans="1:12" x14ac:dyDescent="0.25">
      <c r="B6" s="1" t="s">
        <v>50</v>
      </c>
      <c r="C6" s="1" t="s">
        <v>11</v>
      </c>
      <c r="D6" s="2">
        <v>131112997</v>
      </c>
      <c r="E6" s="2">
        <v>132837752</v>
      </c>
      <c r="F6" s="2">
        <v>137205057</v>
      </c>
      <c r="G6" s="2">
        <v>137312194.08999997</v>
      </c>
      <c r="H6" s="2">
        <v>141288270.35999995</v>
      </c>
      <c r="I6" s="2">
        <v>154069119.56999999</v>
      </c>
      <c r="J6" s="2">
        <v>166447118.82999998</v>
      </c>
      <c r="K6" s="2">
        <v>176830068.43984002</v>
      </c>
    </row>
    <row r="7" spans="1:12" x14ac:dyDescent="0.25">
      <c r="B7" s="1" t="s">
        <v>51</v>
      </c>
      <c r="C7" s="1" t="s">
        <v>11</v>
      </c>
      <c r="D7" s="2">
        <v>5139619</v>
      </c>
      <c r="E7" s="2">
        <v>5699719</v>
      </c>
      <c r="F7" s="2">
        <v>2561863</v>
      </c>
      <c r="G7" s="2">
        <v>1353470.51</v>
      </c>
      <c r="H7" s="2">
        <v>2109362</v>
      </c>
      <c r="I7" s="2">
        <v>2583388.7199999997</v>
      </c>
      <c r="J7" s="2">
        <v>3685308.4299999997</v>
      </c>
      <c r="K7" s="58">
        <v>2839771.25796209</v>
      </c>
    </row>
    <row r="8" spans="1:12" x14ac:dyDescent="0.25">
      <c r="B8" s="1" t="s">
        <v>52</v>
      </c>
      <c r="C8" s="1" t="s">
        <v>11</v>
      </c>
      <c r="D8" s="2">
        <v>1432996</v>
      </c>
      <c r="E8" s="2">
        <v>1475480</v>
      </c>
      <c r="F8" s="2">
        <v>1484400</v>
      </c>
      <c r="G8" s="2">
        <v>289501.93</v>
      </c>
      <c r="H8" s="2">
        <v>760878.75</v>
      </c>
      <c r="I8" s="2">
        <v>923289.62</v>
      </c>
      <c r="J8" s="2">
        <v>1450227.47</v>
      </c>
      <c r="K8" s="2">
        <v>1552376.3761080001</v>
      </c>
    </row>
    <row r="9" spans="1:12" x14ac:dyDescent="0.25">
      <c r="B9" s="1" t="s">
        <v>53</v>
      </c>
      <c r="C9" s="1" t="s">
        <v>11</v>
      </c>
      <c r="D9" s="2">
        <v>1199122</v>
      </c>
      <c r="E9" s="2">
        <v>1457806</v>
      </c>
      <c r="F9" s="2">
        <v>1201199</v>
      </c>
      <c r="G9" s="2">
        <v>2600109.2399999998</v>
      </c>
      <c r="H9" s="2">
        <v>2671543.9199999995</v>
      </c>
      <c r="I9" s="2">
        <v>2292252.73</v>
      </c>
      <c r="J9" s="2">
        <v>1625001.1600000001</v>
      </c>
      <c r="K9" s="2">
        <v>999999.99999999988</v>
      </c>
    </row>
    <row r="10" spans="1:12" x14ac:dyDescent="0.25">
      <c r="B10" s="1" t="s">
        <v>59</v>
      </c>
      <c r="C10" s="1" t="s">
        <v>11</v>
      </c>
      <c r="D10" s="2">
        <v>3141350</v>
      </c>
      <c r="E10" s="2">
        <v>3417419</v>
      </c>
      <c r="F10" s="2">
        <v>74486</v>
      </c>
      <c r="G10" s="2">
        <v>40047.950000000004</v>
      </c>
      <c r="H10" s="2">
        <v>246207.3</v>
      </c>
      <c r="I10" s="2">
        <v>20361.879999999997</v>
      </c>
      <c r="J10" s="2">
        <v>1033731.01</v>
      </c>
      <c r="K10" s="2">
        <v>0</v>
      </c>
    </row>
    <row r="11" spans="1:12" x14ac:dyDescent="0.25">
      <c r="B11" s="33" t="s">
        <v>66</v>
      </c>
      <c r="C11" s="33" t="s">
        <v>54</v>
      </c>
      <c r="D11" s="34">
        <v>-494098</v>
      </c>
      <c r="E11" s="34">
        <v>-878894</v>
      </c>
      <c r="F11" s="34">
        <v>-452587</v>
      </c>
      <c r="G11" s="34">
        <v>-97056.7</v>
      </c>
      <c r="H11" s="34">
        <v>-130550</v>
      </c>
      <c r="I11" s="34">
        <v>-1800</v>
      </c>
      <c r="J11" s="34">
        <v>-4125</v>
      </c>
      <c r="K11" s="34">
        <v>-170000</v>
      </c>
    </row>
    <row r="12" spans="1:12" x14ac:dyDescent="0.25">
      <c r="B12" s="4" t="s">
        <v>60</v>
      </c>
      <c r="C12" s="4" t="s">
        <v>10</v>
      </c>
      <c r="D12" s="54">
        <v>-8321600</v>
      </c>
      <c r="E12" s="54">
        <v>-4966267</v>
      </c>
      <c r="F12" s="55">
        <v>-688282</v>
      </c>
      <c r="G12" s="55">
        <v>-1850331.91</v>
      </c>
      <c r="H12" s="55">
        <v>-580526.93000000005</v>
      </c>
      <c r="I12" s="5">
        <v>-32867.250000000015</v>
      </c>
      <c r="J12" s="5">
        <v>-161934.5</v>
      </c>
      <c r="K12" s="5">
        <v>0</v>
      </c>
    </row>
    <row r="13" spans="1:12" x14ac:dyDescent="0.25">
      <c r="B13" s="11" t="s">
        <v>42</v>
      </c>
      <c r="C13" s="11" t="s">
        <v>54</v>
      </c>
      <c r="D13" s="12">
        <f>SUM(D6:D12)</f>
        <v>133210386</v>
      </c>
      <c r="E13" s="12">
        <f t="shared" ref="E13:K13" si="0">SUM(E6:E12)</f>
        <v>139043015</v>
      </c>
      <c r="F13" s="12">
        <f t="shared" si="0"/>
        <v>141386136</v>
      </c>
      <c r="G13" s="12">
        <f t="shared" si="0"/>
        <v>139647935.10999998</v>
      </c>
      <c r="H13" s="12">
        <f t="shared" si="0"/>
        <v>146365185.39999995</v>
      </c>
      <c r="I13" s="12">
        <f t="shared" si="0"/>
        <v>159853745.26999998</v>
      </c>
      <c r="J13" s="12">
        <f t="shared" si="0"/>
        <v>174075327.39999998</v>
      </c>
      <c r="K13" s="12">
        <f t="shared" si="0"/>
        <v>182052216.07391009</v>
      </c>
    </row>
    <row r="14" spans="1:12" x14ac:dyDescent="0.25">
      <c r="I14" s="2"/>
      <c r="J14" s="2"/>
    </row>
    <row r="15" spans="1:12" x14ac:dyDescent="0.25">
      <c r="B15" s="16" t="s">
        <v>5</v>
      </c>
      <c r="D15" s="52"/>
      <c r="H15" s="2"/>
    </row>
    <row r="16" spans="1:12" x14ac:dyDescent="0.25">
      <c r="A16" s="56">
        <v>110</v>
      </c>
      <c r="B16" s="1" t="s">
        <v>13</v>
      </c>
      <c r="C16" s="1" t="s">
        <v>10</v>
      </c>
      <c r="D16" s="2">
        <v>-2943901</v>
      </c>
      <c r="E16" s="2">
        <v>-2514259</v>
      </c>
      <c r="F16" s="2">
        <v>-2192011</v>
      </c>
      <c r="G16" s="2">
        <v>-2181858.1799999997</v>
      </c>
      <c r="H16" s="2">
        <v>-2210469.73</v>
      </c>
      <c r="I16" s="2">
        <v>-2589546.89</v>
      </c>
      <c r="J16" s="2">
        <v>-2569664.33</v>
      </c>
      <c r="K16" s="2">
        <v>-3291697.0033264617</v>
      </c>
      <c r="L16" s="47"/>
    </row>
    <row r="17" spans="1:12" x14ac:dyDescent="0.25">
      <c r="A17" s="56">
        <v>111</v>
      </c>
      <c r="B17" s="1" t="s">
        <v>4</v>
      </c>
      <c r="C17" s="1" t="s">
        <v>10</v>
      </c>
      <c r="D17" s="2">
        <v>-3878424</v>
      </c>
      <c r="E17" s="2">
        <v>-2992757</v>
      </c>
      <c r="F17" s="2">
        <v>-3263263</v>
      </c>
      <c r="G17" s="2">
        <v>-3092934.08</v>
      </c>
      <c r="H17" s="2">
        <v>-3151166.4099999992</v>
      </c>
      <c r="I17" s="2">
        <v>-3863971.1099999985</v>
      </c>
      <c r="J17" s="2">
        <v>-4249678.74</v>
      </c>
      <c r="K17" s="2">
        <v>-4685949.6339640096</v>
      </c>
    </row>
    <row r="18" spans="1:12" x14ac:dyDescent="0.25">
      <c r="A18" s="56" t="s">
        <v>90</v>
      </c>
      <c r="C18" s="9" t="s">
        <v>44</v>
      </c>
      <c r="D18" s="10">
        <v>-614285</v>
      </c>
      <c r="E18" s="10">
        <v>-672986</v>
      </c>
      <c r="F18" s="10">
        <v>-552233</v>
      </c>
      <c r="G18" s="10">
        <v>-420307.29000000004</v>
      </c>
      <c r="H18" s="10">
        <v>-473892.39000000013</v>
      </c>
      <c r="I18" s="10">
        <v>-640222.78</v>
      </c>
      <c r="J18" s="10">
        <v>-770002.68000000017</v>
      </c>
      <c r="K18" s="10">
        <v>-889984.50515460735</v>
      </c>
      <c r="L18" s="47"/>
    </row>
    <row r="19" spans="1:12" x14ac:dyDescent="0.25">
      <c r="A19" s="56"/>
      <c r="B19" s="16" t="s">
        <v>5</v>
      </c>
      <c r="C19" s="16" t="s">
        <v>54</v>
      </c>
      <c r="D19" s="17">
        <f>SUM(D16:D18)</f>
        <v>-7436610</v>
      </c>
      <c r="E19" s="17">
        <f t="shared" ref="E19:J19" si="1">SUM(E16:E18)</f>
        <v>-6180002</v>
      </c>
      <c r="F19" s="17">
        <f t="shared" si="1"/>
        <v>-6007507</v>
      </c>
      <c r="G19" s="17">
        <f t="shared" si="1"/>
        <v>-5695099.5499999998</v>
      </c>
      <c r="H19" s="17">
        <f t="shared" si="1"/>
        <v>-5835528.5299999993</v>
      </c>
      <c r="I19" s="17">
        <f t="shared" si="1"/>
        <v>-7093740.7799999984</v>
      </c>
      <c r="J19" s="17">
        <f t="shared" si="1"/>
        <v>-7589345.75</v>
      </c>
      <c r="K19" s="17">
        <f>SUM(K16:K18)</f>
        <v>-8867631.1424450781</v>
      </c>
    </row>
    <row r="20" spans="1:12" x14ac:dyDescent="0.25">
      <c r="A20" s="56"/>
      <c r="C20" s="22" t="s">
        <v>61</v>
      </c>
      <c r="D20" s="18">
        <f>-D19/D$13-D22</f>
        <v>5.1214662796638097E-2</v>
      </c>
      <c r="E20" s="18">
        <f t="shared" ref="E20:J20" si="2">-E19/E$13-E22</f>
        <v>3.9606563479654119E-2</v>
      </c>
      <c r="F20" s="18">
        <f t="shared" si="2"/>
        <v>3.8584221581669083E-2</v>
      </c>
      <c r="G20" s="18">
        <f t="shared" si="2"/>
        <v>3.7772074867022359E-2</v>
      </c>
      <c r="H20" s="18">
        <f t="shared" si="2"/>
        <v>3.6631908915683992E-2</v>
      </c>
      <c r="I20" s="18">
        <f t="shared" si="2"/>
        <v>4.0371390667761485E-2</v>
      </c>
      <c r="J20" s="18">
        <f t="shared" si="2"/>
        <v>3.9174667495124882E-2</v>
      </c>
      <c r="K20" s="18">
        <f>-K19/K$13-K22</f>
        <v>4.3820651071073385E-2</v>
      </c>
    </row>
    <row r="21" spans="1:12" x14ac:dyDescent="0.25">
      <c r="A21" s="56"/>
      <c r="C21" s="22" t="s">
        <v>62</v>
      </c>
      <c r="D21" s="19">
        <f>D20*D$2</f>
        <v>20.946797083824983</v>
      </c>
      <c r="E21" s="19">
        <f t="shared" ref="E21:G21" si="3">E20*E$2</f>
        <v>16.63475666145473</v>
      </c>
      <c r="F21" s="19">
        <f t="shared" si="3"/>
        <v>16.86130483118939</v>
      </c>
      <c r="G21" s="19">
        <f t="shared" si="3"/>
        <v>17.167408027061661</v>
      </c>
      <c r="H21" s="19">
        <f t="shared" ref="H21:J21" si="4">H20*H$2</f>
        <v>16.649202602178374</v>
      </c>
      <c r="I21" s="19">
        <f t="shared" si="4"/>
        <v>20.064581161877459</v>
      </c>
      <c r="J21" s="19">
        <f t="shared" si="4"/>
        <v>20.919272442396686</v>
      </c>
      <c r="K21" s="19">
        <f>K20*K$2</f>
        <v>24.627205901943242</v>
      </c>
    </row>
    <row r="22" spans="1:12" x14ac:dyDescent="0.25">
      <c r="A22" s="56"/>
      <c r="C22" s="23" t="s">
        <v>61</v>
      </c>
      <c r="D22" s="24">
        <f>-D18/D$13</f>
        <v>4.611389685485935E-3</v>
      </c>
      <c r="E22" s="24">
        <f t="shared" ref="E22:K22" si="5">-E18/E$13</f>
        <v>4.8401280711584107E-3</v>
      </c>
      <c r="F22" s="24">
        <f t="shared" si="5"/>
        <v>3.9058497220689306E-3</v>
      </c>
      <c r="G22" s="24">
        <f t="shared" si="5"/>
        <v>3.0097637295454895E-3</v>
      </c>
      <c r="H22" s="24">
        <f t="shared" ref="H22:J22" si="6">-H18/H$13</f>
        <v>3.2377398266186345E-3</v>
      </c>
      <c r="I22" s="24">
        <f t="shared" si="6"/>
        <v>4.0050533624885407E-3</v>
      </c>
      <c r="J22" s="24">
        <f t="shared" si="6"/>
        <v>4.4233878028598801E-3</v>
      </c>
      <c r="K22" s="24">
        <f>-K18/K$13</f>
        <v>4.8886222005300331E-3</v>
      </c>
    </row>
    <row r="23" spans="1:12" x14ac:dyDescent="0.25">
      <c r="A23" s="56"/>
      <c r="C23" s="25" t="s">
        <v>62</v>
      </c>
      <c r="D23" s="26">
        <f t="shared" ref="D23:G23" si="7">D22*D$2</f>
        <v>1.8860583813637475</v>
      </c>
      <c r="E23" s="26">
        <f t="shared" si="7"/>
        <v>2.0328537898865324</v>
      </c>
      <c r="F23" s="26">
        <f t="shared" si="7"/>
        <v>1.7068563285441227</v>
      </c>
      <c r="G23" s="26">
        <f t="shared" si="7"/>
        <v>1.367937615078425</v>
      </c>
      <c r="H23" s="26">
        <f t="shared" ref="H23:J23" si="8">H22*H$2</f>
        <v>1.4715527511981694</v>
      </c>
      <c r="I23" s="26">
        <f t="shared" si="8"/>
        <v>1.9905115211568047</v>
      </c>
      <c r="J23" s="26">
        <f t="shared" si="8"/>
        <v>2.3620890867271758</v>
      </c>
      <c r="K23" s="26">
        <f>K22*K$2</f>
        <v>2.7474056766978787</v>
      </c>
    </row>
    <row r="24" spans="1:12" x14ac:dyDescent="0.25">
      <c r="A24" s="56"/>
      <c r="D24" s="52"/>
      <c r="E24" s="52"/>
      <c r="F24" s="52"/>
      <c r="G24" s="52"/>
      <c r="H24" s="52"/>
      <c r="I24" s="52"/>
      <c r="J24" s="52"/>
      <c r="K24" s="52"/>
    </row>
    <row r="25" spans="1:12" x14ac:dyDescent="0.25">
      <c r="A25" s="56"/>
      <c r="B25" s="16" t="s">
        <v>14</v>
      </c>
      <c r="D25" s="52"/>
      <c r="E25" s="52"/>
      <c r="F25" s="52"/>
      <c r="G25" s="52"/>
      <c r="H25" s="52"/>
      <c r="I25" s="52"/>
      <c r="J25" s="52"/>
      <c r="K25" s="52"/>
    </row>
    <row r="26" spans="1:12" x14ac:dyDescent="0.25">
      <c r="A26" s="56">
        <v>101</v>
      </c>
      <c r="B26" s="1" t="s">
        <v>15</v>
      </c>
      <c r="C26" s="1" t="s">
        <v>10</v>
      </c>
      <c r="D26" s="2">
        <v>-1105819</v>
      </c>
      <c r="E26" s="2">
        <v>-1362076</v>
      </c>
      <c r="F26" s="2">
        <v>-1279488</v>
      </c>
      <c r="G26" s="2">
        <v>-1163505.5900000001</v>
      </c>
      <c r="H26" s="2">
        <v>-1162915.94</v>
      </c>
      <c r="I26" s="2">
        <v>-1869737.8499999996</v>
      </c>
      <c r="J26" s="2">
        <v>-2163802.8399999994</v>
      </c>
      <c r="K26" s="2">
        <v>-2519709.5875416417</v>
      </c>
    </row>
    <row r="27" spans="1:12" x14ac:dyDescent="0.25">
      <c r="A27" s="56">
        <v>102</v>
      </c>
      <c r="B27" s="4" t="s">
        <v>16</v>
      </c>
      <c r="C27" s="4" t="s">
        <v>10</v>
      </c>
      <c r="D27" s="2">
        <v>-128664</v>
      </c>
      <c r="E27" s="2">
        <v>-134813</v>
      </c>
      <c r="F27" s="2">
        <v>-131819</v>
      </c>
      <c r="G27" s="2">
        <v>-111291.46</v>
      </c>
      <c r="H27" s="2">
        <v>-43769.490000000005</v>
      </c>
      <c r="I27" s="2">
        <v>0</v>
      </c>
      <c r="J27" s="2">
        <v>-18316.22</v>
      </c>
      <c r="K27" s="2">
        <v>-126576.52</v>
      </c>
    </row>
    <row r="28" spans="1:12" x14ac:dyDescent="0.25">
      <c r="A28" s="56"/>
      <c r="B28" s="16" t="s">
        <v>14</v>
      </c>
      <c r="C28" s="16" t="s">
        <v>54</v>
      </c>
      <c r="D28" s="53">
        <f>SUM(D26:D27)</f>
        <v>-1234483</v>
      </c>
      <c r="E28" s="53">
        <f t="shared" ref="E28:K28" si="9">SUM(E26:E27)</f>
        <v>-1496889</v>
      </c>
      <c r="F28" s="53">
        <f t="shared" si="9"/>
        <v>-1411307</v>
      </c>
      <c r="G28" s="53">
        <f t="shared" si="9"/>
        <v>-1274797.05</v>
      </c>
      <c r="H28" s="53">
        <f t="shared" si="9"/>
        <v>-1206685.43</v>
      </c>
      <c r="I28" s="53">
        <f t="shared" si="9"/>
        <v>-1869737.8499999996</v>
      </c>
      <c r="J28" s="53">
        <f t="shared" si="9"/>
        <v>-2182119.0599999996</v>
      </c>
      <c r="K28" s="53">
        <f t="shared" si="9"/>
        <v>-2646286.1075416417</v>
      </c>
    </row>
    <row r="29" spans="1:12" x14ac:dyDescent="0.25">
      <c r="A29" s="56"/>
      <c r="C29" s="22" t="s">
        <v>61</v>
      </c>
      <c r="D29" s="18">
        <f>-D28/D$13</f>
        <v>9.2671678017658479E-3</v>
      </c>
      <c r="E29" s="18">
        <f t="shared" ref="E29:K29" si="10">-E28/E$13</f>
        <v>1.0765654067556E-2</v>
      </c>
      <c r="F29" s="18">
        <f t="shared" si="10"/>
        <v>9.9819334478452679E-3</v>
      </c>
      <c r="G29" s="18">
        <f t="shared" si="10"/>
        <v>9.1286494783889838E-3</v>
      </c>
      <c r="H29" s="18">
        <f t="shared" si="10"/>
        <v>8.2443473610357646E-3</v>
      </c>
      <c r="I29" s="18">
        <f t="shared" si="10"/>
        <v>1.1696553289020101E-2</v>
      </c>
      <c r="J29" s="18">
        <f t="shared" si="10"/>
        <v>1.2535487323748097E-2</v>
      </c>
      <c r="K29" s="18">
        <f t="shared" si="10"/>
        <v>1.4535863196893439E-2</v>
      </c>
    </row>
    <row r="30" spans="1:12" x14ac:dyDescent="0.25">
      <c r="A30" s="56"/>
      <c r="C30" s="22" t="s">
        <v>62</v>
      </c>
      <c r="D30" s="19">
        <f t="shared" ref="D30" si="11">D29*D$2</f>
        <v>3.790271630922232</v>
      </c>
      <c r="E30" s="19">
        <f t="shared" ref="E30" si="12">E29*E$2</f>
        <v>4.52157470837352</v>
      </c>
      <c r="F30" s="19">
        <f t="shared" ref="F30" si="13">F29*F$2</f>
        <v>4.3621049167083825</v>
      </c>
      <c r="G30" s="19">
        <f t="shared" ref="G30" si="14">G29*G$2</f>
        <v>4.1489711879277928</v>
      </c>
      <c r="H30" s="19">
        <f t="shared" ref="H30" si="15">H29*H$2</f>
        <v>3.747055875590755</v>
      </c>
      <c r="I30" s="19">
        <f t="shared" ref="I30" si="16">I29*I$2</f>
        <v>5.8131869846429902</v>
      </c>
      <c r="J30" s="19">
        <f t="shared" ref="J30" si="17">J29*J$2</f>
        <v>6.6939502308814838</v>
      </c>
      <c r="K30" s="19">
        <f>K29*K$2</f>
        <v>8.1691551166541121</v>
      </c>
    </row>
    <row r="31" spans="1:12" x14ac:dyDescent="0.25">
      <c r="A31" s="56"/>
      <c r="D31" s="52"/>
      <c r="E31" s="52"/>
      <c r="F31" s="52"/>
      <c r="G31" s="52"/>
      <c r="H31" s="52"/>
      <c r="I31" s="52"/>
      <c r="J31" s="52"/>
      <c r="K31" s="52"/>
    </row>
    <row r="32" spans="1:12" x14ac:dyDescent="0.25">
      <c r="A32" s="56"/>
      <c r="B32" s="16" t="s">
        <v>8</v>
      </c>
      <c r="D32" s="52"/>
      <c r="E32" s="52"/>
      <c r="F32" s="52"/>
      <c r="G32" s="52"/>
      <c r="H32" s="52"/>
      <c r="I32" s="52"/>
      <c r="J32" s="52"/>
      <c r="K32" s="52"/>
    </row>
    <row r="33" spans="1:13" x14ac:dyDescent="0.25">
      <c r="A33" s="56">
        <v>108</v>
      </c>
      <c r="B33" s="1" t="s">
        <v>58</v>
      </c>
      <c r="C33" s="1" t="s">
        <v>10</v>
      </c>
      <c r="D33" s="2">
        <v>-53289</v>
      </c>
      <c r="E33" s="2">
        <v>-39128</v>
      </c>
      <c r="F33" s="2">
        <v>-21040</v>
      </c>
      <c r="G33" s="2">
        <v>-869.72</v>
      </c>
      <c r="H33" s="2">
        <v>-178245.20000000004</v>
      </c>
      <c r="I33" s="2">
        <v>-246717.59000000005</v>
      </c>
      <c r="J33" s="2">
        <v>-368326.2</v>
      </c>
      <c r="K33" s="2">
        <v>-491555.95179930562</v>
      </c>
    </row>
    <row r="34" spans="1:13" x14ac:dyDescent="0.25">
      <c r="A34" s="56">
        <v>115</v>
      </c>
      <c r="B34" s="1" t="s">
        <v>17</v>
      </c>
      <c r="C34" s="1" t="s">
        <v>10</v>
      </c>
      <c r="D34" s="2">
        <v>-8427799</v>
      </c>
      <c r="E34" s="2">
        <v>-8710949</v>
      </c>
      <c r="F34" s="2">
        <v>-8755969</v>
      </c>
      <c r="G34" s="2">
        <v>-6550438.1699999999</v>
      </c>
      <c r="H34" s="2">
        <v>-7552164.6000000024</v>
      </c>
      <c r="I34" s="2">
        <v>-8878301.129999999</v>
      </c>
      <c r="J34" s="2">
        <v>-10147123.969999995</v>
      </c>
      <c r="K34" s="2">
        <v>-10733436.081484392</v>
      </c>
    </row>
    <row r="35" spans="1:13" x14ac:dyDescent="0.25">
      <c r="A35" s="56"/>
      <c r="B35" s="4"/>
      <c r="C35" s="6" t="s">
        <v>11</v>
      </c>
      <c r="D35" s="2">
        <v>3392811</v>
      </c>
      <c r="E35" s="2">
        <v>3609020</v>
      </c>
      <c r="F35" s="2">
        <v>3574488</v>
      </c>
      <c r="G35" s="2">
        <v>1356276.8399999999</v>
      </c>
      <c r="H35" s="2">
        <v>1941403.22</v>
      </c>
      <c r="I35" s="2">
        <v>3633552.75</v>
      </c>
      <c r="J35" s="2">
        <v>4461526.9400000004</v>
      </c>
      <c r="K35" s="2">
        <v>5740019.96</v>
      </c>
    </row>
    <row r="36" spans="1:13" x14ac:dyDescent="0.25">
      <c r="A36" s="56"/>
      <c r="B36" s="21" t="s">
        <v>17</v>
      </c>
      <c r="C36" s="49" t="s">
        <v>54</v>
      </c>
      <c r="D36" s="50">
        <f>SUM(D34:D35)</f>
        <v>-5034988</v>
      </c>
      <c r="E36" s="50">
        <f t="shared" ref="E36:K36" si="18">SUM(E34:E35)</f>
        <v>-5101929</v>
      </c>
      <c r="F36" s="50">
        <f t="shared" si="18"/>
        <v>-5181481</v>
      </c>
      <c r="G36" s="50">
        <f t="shared" si="18"/>
        <v>-5194161.33</v>
      </c>
      <c r="H36" s="50">
        <f t="shared" si="18"/>
        <v>-5610761.3800000027</v>
      </c>
      <c r="I36" s="50">
        <f t="shared" si="18"/>
        <v>-5244748.379999999</v>
      </c>
      <c r="J36" s="50">
        <f t="shared" si="18"/>
        <v>-5685597.0299999947</v>
      </c>
      <c r="K36" s="50">
        <f t="shared" si="18"/>
        <v>-4993416.1214843923</v>
      </c>
    </row>
    <row r="37" spans="1:13" x14ac:dyDescent="0.25">
      <c r="A37" s="56">
        <v>105</v>
      </c>
      <c r="B37" s="1" t="s">
        <v>43</v>
      </c>
      <c r="C37" s="1" t="s">
        <v>10</v>
      </c>
      <c r="D37" s="2">
        <v>-2635231</v>
      </c>
      <c r="E37" s="2">
        <v>-2672226</v>
      </c>
      <c r="F37" s="2">
        <v>-2746229</v>
      </c>
      <c r="G37" s="2">
        <v>-2577153.5699999998</v>
      </c>
      <c r="H37" s="2">
        <v>-2616514.8900000006</v>
      </c>
      <c r="I37" s="2">
        <v>-2852292.959999999</v>
      </c>
      <c r="J37" s="2">
        <v>-3210528.9100000011</v>
      </c>
      <c r="K37" s="2">
        <v>-2681561.708647206</v>
      </c>
    </row>
    <row r="38" spans="1:13" x14ac:dyDescent="0.25">
      <c r="A38" s="56">
        <v>106</v>
      </c>
      <c r="B38" s="1" t="s">
        <v>9</v>
      </c>
      <c r="C38" s="1" t="s">
        <v>10</v>
      </c>
      <c r="D38" s="2">
        <v>-4705408</v>
      </c>
      <c r="E38" s="2">
        <v>-5139588</v>
      </c>
      <c r="F38" s="2">
        <v>-5308829</v>
      </c>
      <c r="G38" s="2">
        <v>-5740626.1200000001</v>
      </c>
      <c r="H38" s="2">
        <v>-5038492.120000001</v>
      </c>
      <c r="I38" s="2">
        <v>-6019309.549999998</v>
      </c>
      <c r="J38" s="2">
        <v>-5444714.7399999974</v>
      </c>
      <c r="K38" s="2">
        <v>-7049031.335394185</v>
      </c>
      <c r="M38" s="47"/>
    </row>
    <row r="39" spans="1:13" s="6" customFormat="1" x14ac:dyDescent="0.25">
      <c r="A39" s="57"/>
      <c r="C39" s="27" t="s">
        <v>63</v>
      </c>
      <c r="D39" s="28">
        <v>0</v>
      </c>
      <c r="E39" s="28">
        <v>0</v>
      </c>
      <c r="F39" s="28">
        <v>0</v>
      </c>
      <c r="G39" s="28">
        <v>0</v>
      </c>
      <c r="H39" s="28">
        <v>-1349632.3299999998</v>
      </c>
      <c r="I39" s="28">
        <v>0</v>
      </c>
      <c r="J39" s="28">
        <v>0</v>
      </c>
      <c r="K39" s="28"/>
    </row>
    <row r="40" spans="1:13" x14ac:dyDescent="0.25">
      <c r="A40" s="56">
        <v>4131</v>
      </c>
      <c r="C40" s="9" t="s">
        <v>45</v>
      </c>
      <c r="D40" s="10">
        <v>-1247824</v>
      </c>
      <c r="E40" s="10">
        <v>-785959</v>
      </c>
      <c r="F40" s="10">
        <v>-4085703</v>
      </c>
      <c r="G40" s="10">
        <v>-4278498.97</v>
      </c>
      <c r="H40" s="10">
        <v>-2819341.2700000009</v>
      </c>
      <c r="I40" s="10">
        <v>-2099523.4400000004</v>
      </c>
      <c r="J40" s="10">
        <v>-1345818.3399999999</v>
      </c>
      <c r="K40" s="10">
        <v>-1227456.7227000003</v>
      </c>
    </row>
    <row r="41" spans="1:13" x14ac:dyDescent="0.25">
      <c r="A41" s="56">
        <v>107</v>
      </c>
      <c r="B41" s="1" t="s">
        <v>29</v>
      </c>
      <c r="C41" s="1" t="s">
        <v>10</v>
      </c>
      <c r="D41" s="2">
        <v>-13650302</v>
      </c>
      <c r="E41" s="2">
        <v>-13164340</v>
      </c>
      <c r="F41" s="2">
        <v>-13591383</v>
      </c>
      <c r="G41" s="2">
        <v>-11563180.039999999</v>
      </c>
      <c r="H41" s="2">
        <v>-12945511.619999999</v>
      </c>
      <c r="I41" s="2">
        <v>-17310896.689999998</v>
      </c>
      <c r="J41" s="2">
        <v>-17831494.809999999</v>
      </c>
      <c r="K41" s="2">
        <v>-19565796.844173253</v>
      </c>
    </row>
    <row r="42" spans="1:13" x14ac:dyDescent="0.25">
      <c r="A42" s="56"/>
      <c r="B42" s="4"/>
      <c r="C42" s="4" t="s">
        <v>11</v>
      </c>
      <c r="D42" s="5">
        <v>6287073</v>
      </c>
      <c r="E42" s="5">
        <v>6330858</v>
      </c>
      <c r="F42" s="5">
        <v>6477423</v>
      </c>
      <c r="G42" s="5">
        <v>2680774.7200000007</v>
      </c>
      <c r="H42" s="5">
        <v>4345307.9800000004</v>
      </c>
      <c r="I42" s="5">
        <v>7797911.7300000004</v>
      </c>
      <c r="J42" s="5">
        <v>8058410.8600000003</v>
      </c>
      <c r="K42" s="5">
        <v>9407308.459999999</v>
      </c>
    </row>
    <row r="43" spans="1:13" x14ac:dyDescent="0.25">
      <c r="A43" s="56"/>
      <c r="B43" s="21" t="s">
        <v>29</v>
      </c>
      <c r="C43" s="21" t="s">
        <v>54</v>
      </c>
      <c r="D43" s="29">
        <f>SUM(D41:D42)</f>
        <v>-7363229</v>
      </c>
      <c r="E43" s="29">
        <f t="shared" ref="E43:K43" si="19">SUM(E41:E42)</f>
        <v>-6833482</v>
      </c>
      <c r="F43" s="29">
        <f t="shared" si="19"/>
        <v>-7113960</v>
      </c>
      <c r="G43" s="29">
        <f t="shared" si="19"/>
        <v>-8882405.3199999984</v>
      </c>
      <c r="H43" s="29">
        <f t="shared" si="19"/>
        <v>-8600203.6399999987</v>
      </c>
      <c r="I43" s="29">
        <f t="shared" si="19"/>
        <v>-9512984.9599999972</v>
      </c>
      <c r="J43" s="29">
        <f t="shared" si="19"/>
        <v>-9773083.9499999993</v>
      </c>
      <c r="K43" s="29">
        <f t="shared" si="19"/>
        <v>-10158488.384173254</v>
      </c>
    </row>
    <row r="44" spans="1:13" x14ac:dyDescent="0.25">
      <c r="A44" s="56"/>
      <c r="B44" s="16" t="s">
        <v>8</v>
      </c>
      <c r="C44" s="16" t="s">
        <v>54</v>
      </c>
      <c r="D44" s="17">
        <f>SUM(D33,D36,D37,D38,D40,D39,D43)</f>
        <v>-21039969</v>
      </c>
      <c r="E44" s="17">
        <f t="shared" ref="E44:J44" si="20">SUM(E33,E36,E37,E38,E40,E39,E43)</f>
        <v>-20572312</v>
      </c>
      <c r="F44" s="17">
        <f t="shared" si="20"/>
        <v>-24457242</v>
      </c>
      <c r="G44" s="17">
        <f t="shared" si="20"/>
        <v>-26673715.029999994</v>
      </c>
      <c r="H44" s="17">
        <f t="shared" si="20"/>
        <v>-26213190.830000006</v>
      </c>
      <c r="I44" s="17">
        <f t="shared" si="20"/>
        <v>-25975576.879999995</v>
      </c>
      <c r="J44" s="17">
        <f t="shared" si="20"/>
        <v>-25828069.169999994</v>
      </c>
      <c r="K44" s="17">
        <f>SUM(K33,K36,K37,K38,K40,K39,K43)</f>
        <v>-26601510.224198341</v>
      </c>
    </row>
    <row r="45" spans="1:13" x14ac:dyDescent="0.25">
      <c r="A45" s="56"/>
      <c r="C45" s="22" t="s">
        <v>61</v>
      </c>
      <c r="D45" s="18">
        <f t="shared" ref="D45" si="21">-D44/D$13-D47</f>
        <v>0.14857809210161738</v>
      </c>
      <c r="E45" s="18">
        <f t="shared" ref="E45" si="22">-E44/E$13-E47</f>
        <v>0.14230382590596155</v>
      </c>
      <c r="F45" s="18">
        <f t="shared" ref="F45" si="23">-F44/F$13-F47</f>
        <v>0.14408441715954384</v>
      </c>
      <c r="G45" s="18">
        <f t="shared" ref="G45" si="24">-G44/G$13-G47</f>
        <v>0.16036911711125118</v>
      </c>
      <c r="H45" s="18">
        <f t="shared" ref="H45" si="25">-H44/H$13-H47</f>
        <v>0.15061107031535939</v>
      </c>
      <c r="I45" s="18">
        <f t="shared" ref="I45" si="26">-I44/I$13-I47</f>
        <v>0.14936186449477484</v>
      </c>
      <c r="J45" s="18">
        <f t="shared" ref="J45" si="27">-J44/J$13-J47</f>
        <v>0.14064170491975189</v>
      </c>
      <c r="K45" s="18">
        <f>-K44/K$13-K47</f>
        <v>0.13937788865583986</v>
      </c>
    </row>
    <row r="46" spans="1:13" x14ac:dyDescent="0.25">
      <c r="A46" s="56"/>
      <c r="C46" s="22" t="s">
        <v>62</v>
      </c>
      <c r="D46" s="19">
        <f t="shared" ref="D46" si="28">D45*D$2</f>
        <v>60.768439669561509</v>
      </c>
      <c r="E46" s="19">
        <f t="shared" ref="E46" si="29">E45*E$2</f>
        <v>59.767606880503848</v>
      </c>
      <c r="F46" s="19">
        <f t="shared" ref="F46" si="30">F45*F$2</f>
        <v>62.964890298720661</v>
      </c>
      <c r="G46" s="19">
        <f t="shared" ref="G46" si="31">G45*G$2</f>
        <v>72.887763727063657</v>
      </c>
      <c r="H46" s="19">
        <f t="shared" ref="H46" si="32">H45*H$2</f>
        <v>68.452731458330845</v>
      </c>
      <c r="I46" s="19">
        <f t="shared" ref="I46" si="33">I45*I$2</f>
        <v>74.232846653903096</v>
      </c>
      <c r="J46" s="19">
        <f t="shared" ref="J46" si="34">J45*J$2</f>
        <v>75.102670427147515</v>
      </c>
      <c r="K46" s="19">
        <f>K45*K$2</f>
        <v>78.330373424582007</v>
      </c>
    </row>
    <row r="47" spans="1:13" x14ac:dyDescent="0.25">
      <c r="A47" s="56"/>
      <c r="C47" s="23" t="s">
        <v>61</v>
      </c>
      <c r="D47" s="24">
        <f>(-D40-D39)/D$13</f>
        <v>9.3673176504420613E-3</v>
      </c>
      <c r="E47" s="24">
        <f t="shared" ref="E47:K47" si="35">(-E40-E39)/E$13</f>
        <v>5.6526320290163443E-3</v>
      </c>
      <c r="F47" s="24">
        <f t="shared" si="35"/>
        <v>2.8897479735919794E-2</v>
      </c>
      <c r="G47" s="24">
        <f t="shared" si="35"/>
        <v>3.0637753194344388E-2</v>
      </c>
      <c r="H47" s="24">
        <f t="shared" si="35"/>
        <v>2.8483369105888497E-2</v>
      </c>
      <c r="I47" s="24">
        <f t="shared" si="35"/>
        <v>1.3134027210021344E-2</v>
      </c>
      <c r="J47" s="24">
        <f t="shared" si="35"/>
        <v>7.7312411822009876E-3</v>
      </c>
      <c r="K47" s="24">
        <f t="shared" si="35"/>
        <v>6.7423333215656869E-3</v>
      </c>
    </row>
    <row r="48" spans="1:13" x14ac:dyDescent="0.25">
      <c r="A48" s="56"/>
      <c r="C48" s="25" t="s">
        <v>62</v>
      </c>
      <c r="D48" s="26">
        <f t="shared" ref="D48" si="36">D47*D$2</f>
        <v>3.831232919030803</v>
      </c>
      <c r="E48" s="26">
        <f t="shared" ref="E48" si="37">E47*E$2</f>
        <v>2.3741054521868645</v>
      </c>
      <c r="F48" s="26">
        <f t="shared" ref="F48" si="38">F47*F$2</f>
        <v>12.628198644596949</v>
      </c>
      <c r="G48" s="26">
        <f t="shared" ref="G48" si="39">G47*G$2</f>
        <v>13.924858826829524</v>
      </c>
      <c r="H48" s="26">
        <f t="shared" ref="H48" si="40">H47*H$2</f>
        <v>12.945691258626322</v>
      </c>
      <c r="I48" s="26">
        <f t="shared" ref="I48" si="41">I47*I$2</f>
        <v>6.5276115233806076</v>
      </c>
      <c r="J48" s="26">
        <f t="shared" ref="J48" si="42">J47*J$2</f>
        <v>4.128482791295327</v>
      </c>
      <c r="K48" s="26">
        <f>K47*K$2</f>
        <v>3.7891913267199162</v>
      </c>
    </row>
    <row r="49" spans="1:11" x14ac:dyDescent="0.25">
      <c r="A49" s="56"/>
    </row>
    <row r="50" spans="1:11" x14ac:dyDescent="0.25">
      <c r="A50" s="56"/>
      <c r="B50" s="16" t="s">
        <v>19</v>
      </c>
      <c r="D50" s="52"/>
      <c r="E50" s="52"/>
      <c r="F50" s="52"/>
      <c r="G50" s="52"/>
      <c r="H50" s="52"/>
      <c r="I50" s="52"/>
      <c r="J50" s="52"/>
      <c r="K50" s="52"/>
    </row>
    <row r="51" spans="1:11" x14ac:dyDescent="0.25">
      <c r="A51" s="56">
        <v>131</v>
      </c>
      <c r="B51" s="1" t="s">
        <v>20</v>
      </c>
      <c r="C51" s="1" t="s">
        <v>10</v>
      </c>
      <c r="D51" s="2">
        <v>-8389597</v>
      </c>
      <c r="E51" s="2">
        <v>-8467938</v>
      </c>
      <c r="F51" s="2">
        <v>-8573496</v>
      </c>
      <c r="G51" s="2">
        <v>-6684668.0899999989</v>
      </c>
      <c r="H51" s="2">
        <v>-7767142.4100000001</v>
      </c>
      <c r="I51" s="2">
        <v>-9473319.3200000022</v>
      </c>
      <c r="J51" s="2">
        <v>-11065674.479999993</v>
      </c>
      <c r="K51" s="2">
        <v>-11751833.655139377</v>
      </c>
    </row>
    <row r="52" spans="1:11" x14ac:dyDescent="0.25">
      <c r="A52" s="56"/>
      <c r="B52" s="4"/>
      <c r="C52" s="4" t="s">
        <v>11</v>
      </c>
      <c r="D52" s="5">
        <v>6408490</v>
      </c>
      <c r="E52" s="5">
        <v>6946286</v>
      </c>
      <c r="F52" s="5">
        <v>7139604</v>
      </c>
      <c r="G52" s="5">
        <v>5181182.5699999994</v>
      </c>
      <c r="H52" s="5">
        <v>5976778.1700000009</v>
      </c>
      <c r="I52" s="5">
        <v>7300283.2699999986</v>
      </c>
      <c r="J52" s="5">
        <v>8530664.1600000001</v>
      </c>
      <c r="K52" s="59">
        <v>9567072.1799999997</v>
      </c>
    </row>
    <row r="53" spans="1:11" x14ac:dyDescent="0.25">
      <c r="A53" s="56"/>
      <c r="B53" s="16" t="s">
        <v>19</v>
      </c>
      <c r="C53" s="16" t="s">
        <v>54</v>
      </c>
      <c r="D53" s="17">
        <f>SUM(D51:D52)</f>
        <v>-1981107</v>
      </c>
      <c r="E53" s="17">
        <f t="shared" ref="E53:K53" si="43">SUM(E51:E52)</f>
        <v>-1521652</v>
      </c>
      <c r="F53" s="17">
        <f t="shared" si="43"/>
        <v>-1433892</v>
      </c>
      <c r="G53" s="17">
        <f t="shared" si="43"/>
        <v>-1503485.5199999996</v>
      </c>
      <c r="H53" s="17">
        <f t="shared" si="43"/>
        <v>-1790364.2399999993</v>
      </c>
      <c r="I53" s="17">
        <f t="shared" si="43"/>
        <v>-2173036.0500000035</v>
      </c>
      <c r="J53" s="17">
        <f t="shared" si="43"/>
        <v>-2535010.3199999928</v>
      </c>
      <c r="K53" s="17">
        <f t="shared" si="43"/>
        <v>-2184761.4751393776</v>
      </c>
    </row>
    <row r="54" spans="1:11" x14ac:dyDescent="0.25">
      <c r="A54" s="56"/>
      <c r="C54" s="22" t="s">
        <v>61</v>
      </c>
      <c r="D54" s="18">
        <f>-D53/D$13</f>
        <v>1.4872016060369347E-2</v>
      </c>
      <c r="E54" s="18">
        <f t="shared" ref="E54" si="44">-E53/E$13</f>
        <v>1.0943750033038336E-2</v>
      </c>
      <c r="F54" s="18">
        <f t="shared" ref="F54" si="45">-F53/F$13</f>
        <v>1.0141673296736818E-2</v>
      </c>
      <c r="G54" s="18">
        <f t="shared" ref="G54" si="46">-G53/G$13</f>
        <v>1.0766256721345084E-2</v>
      </c>
      <c r="H54" s="18">
        <f t="shared" ref="H54" si="47">-H53/H$13</f>
        <v>1.2232172801934633E-2</v>
      </c>
      <c r="I54" s="18">
        <f t="shared" ref="I54" si="48">-I53/I$13</f>
        <v>1.3593901389858901E-2</v>
      </c>
      <c r="J54" s="18">
        <f t="shared" ref="J54" si="49">-J53/J$13</f>
        <v>1.4562720391586024E-2</v>
      </c>
      <c r="K54" s="18">
        <f>-K53/K$13</f>
        <v>1.2000740898712279E-2</v>
      </c>
    </row>
    <row r="55" spans="1:11" x14ac:dyDescent="0.25">
      <c r="A55" s="56"/>
      <c r="C55" s="22" t="s">
        <v>62</v>
      </c>
      <c r="D55" s="19">
        <f t="shared" ref="D55" si="50">D54*D$2</f>
        <v>6.0826545686910629</v>
      </c>
      <c r="E55" s="19">
        <f t="shared" ref="E55" si="51">E54*E$2</f>
        <v>4.5963750138761013</v>
      </c>
      <c r="F55" s="19">
        <f t="shared" ref="F55" si="52">F54*F$2</f>
        <v>4.4319112306739896</v>
      </c>
      <c r="G55" s="19">
        <f t="shared" ref="G55" si="53">G54*G$2</f>
        <v>4.8932636798513407</v>
      </c>
      <c r="H55" s="19">
        <f t="shared" ref="H55" si="54">H54*H$2</f>
        <v>5.5595225384792908</v>
      </c>
      <c r="I55" s="19">
        <f t="shared" ref="I55" si="55">I54*I$2</f>
        <v>6.7561689907598739</v>
      </c>
      <c r="J55" s="19">
        <f t="shared" ref="J55" si="56">J54*J$2</f>
        <v>7.7764926891069361</v>
      </c>
      <c r="K55" s="19">
        <f>K54*K$2</f>
        <v>6.7444163850763008</v>
      </c>
    </row>
    <row r="56" spans="1:11" x14ac:dyDescent="0.25">
      <c r="A56" s="56"/>
      <c r="D56" s="52"/>
      <c r="E56" s="52"/>
      <c r="F56" s="52"/>
      <c r="G56" s="52"/>
      <c r="H56" s="52"/>
      <c r="I56" s="52"/>
      <c r="J56" s="52"/>
      <c r="K56" s="52"/>
    </row>
    <row r="57" spans="1:11" x14ac:dyDescent="0.25">
      <c r="A57" s="56"/>
      <c r="B57" s="16" t="s">
        <v>21</v>
      </c>
      <c r="D57" s="52"/>
      <c r="E57" s="52"/>
      <c r="F57" s="52"/>
      <c r="G57" s="52"/>
      <c r="H57" s="52"/>
      <c r="I57" s="52"/>
      <c r="J57" s="52"/>
      <c r="K57" s="52"/>
    </row>
    <row r="58" spans="1:11" x14ac:dyDescent="0.25">
      <c r="A58" s="56">
        <v>127</v>
      </c>
      <c r="B58" s="1" t="s">
        <v>22</v>
      </c>
      <c r="C58" s="1" t="s">
        <v>10</v>
      </c>
      <c r="D58" s="2">
        <v>-10247707</v>
      </c>
      <c r="E58" s="2">
        <v>-11208103</v>
      </c>
      <c r="F58" s="2">
        <v>-12891802</v>
      </c>
      <c r="G58" s="2">
        <v>-8444889.9200000037</v>
      </c>
      <c r="H58" s="2">
        <v>-10412826.22000001</v>
      </c>
      <c r="I58" s="2">
        <v>-13767196.840000017</v>
      </c>
      <c r="J58" s="2">
        <v>-18634126.059999984</v>
      </c>
      <c r="K58" s="58">
        <v>-17860864.505047243</v>
      </c>
    </row>
    <row r="59" spans="1:11" x14ac:dyDescent="0.25">
      <c r="A59" s="56"/>
      <c r="B59" s="4"/>
      <c r="C59" s="4" t="s">
        <v>11</v>
      </c>
      <c r="D59" s="5">
        <v>2722884</v>
      </c>
      <c r="E59" s="5">
        <v>2613905</v>
      </c>
      <c r="F59" s="5">
        <v>2576852</v>
      </c>
      <c r="G59" s="5">
        <v>987204.21000000008</v>
      </c>
      <c r="H59" s="5">
        <v>1668654.44</v>
      </c>
      <c r="I59" s="5">
        <v>2310901.41</v>
      </c>
      <c r="J59" s="5">
        <v>2690456.0300000007</v>
      </c>
      <c r="K59" s="59">
        <v>2918831.4300000006</v>
      </c>
    </row>
    <row r="60" spans="1:11" x14ac:dyDescent="0.25">
      <c r="A60" s="56"/>
      <c r="B60" s="21" t="s">
        <v>22</v>
      </c>
      <c r="C60" s="21" t="s">
        <v>54</v>
      </c>
      <c r="D60" s="29">
        <f>SUM(D58:D59)</f>
        <v>-7524823</v>
      </c>
      <c r="E60" s="29">
        <f t="shared" ref="E60:K60" si="57">SUM(E58:E59)</f>
        <v>-8594198</v>
      </c>
      <c r="F60" s="29">
        <f t="shared" si="57"/>
        <v>-10314950</v>
      </c>
      <c r="G60" s="29">
        <f t="shared" si="57"/>
        <v>-7457685.7100000037</v>
      </c>
      <c r="H60" s="29">
        <f t="shared" si="57"/>
        <v>-8744171.7800000105</v>
      </c>
      <c r="I60" s="29">
        <f t="shared" si="57"/>
        <v>-11456295.430000016</v>
      </c>
      <c r="J60" s="29">
        <f t="shared" si="57"/>
        <v>-15943670.029999983</v>
      </c>
      <c r="K60" s="29">
        <f t="shared" si="57"/>
        <v>-14942033.075047243</v>
      </c>
    </row>
    <row r="61" spans="1:11" x14ac:dyDescent="0.25">
      <c r="A61" s="56">
        <v>126</v>
      </c>
      <c r="B61" s="1" t="s">
        <v>23</v>
      </c>
      <c r="C61" s="1" t="s">
        <v>10</v>
      </c>
      <c r="D61" s="2">
        <v>-7094532</v>
      </c>
      <c r="E61" s="2">
        <v>-8584876</v>
      </c>
      <c r="F61" s="2">
        <v>-9630123</v>
      </c>
      <c r="G61" s="2">
        <v>-5873429.0999999968</v>
      </c>
      <c r="H61" s="2">
        <v>-7390380.9100000057</v>
      </c>
      <c r="I61" s="2">
        <v>-9307924.6199999955</v>
      </c>
      <c r="J61" s="2">
        <v>-12359194.029999996</v>
      </c>
      <c r="K61" s="58">
        <v>-12180571.893166052</v>
      </c>
    </row>
    <row r="62" spans="1:11" x14ac:dyDescent="0.25">
      <c r="A62" s="56"/>
      <c r="B62" s="4"/>
      <c r="C62" s="4" t="s">
        <v>11</v>
      </c>
      <c r="D62" s="5">
        <v>723115</v>
      </c>
      <c r="E62" s="5">
        <v>820819</v>
      </c>
      <c r="F62" s="5">
        <v>654029</v>
      </c>
      <c r="G62" s="5">
        <v>206316.82</v>
      </c>
      <c r="H62" s="5">
        <v>351620.11000000004</v>
      </c>
      <c r="I62" s="5">
        <v>574811.54999999993</v>
      </c>
      <c r="J62" s="5">
        <v>611689.48</v>
      </c>
      <c r="K62" s="5">
        <v>676522</v>
      </c>
    </row>
    <row r="63" spans="1:11" x14ac:dyDescent="0.25">
      <c r="A63" s="56"/>
      <c r="B63" s="21" t="s">
        <v>23</v>
      </c>
      <c r="C63" s="21" t="s">
        <v>54</v>
      </c>
      <c r="D63" s="29">
        <f>SUM(D61:D62)</f>
        <v>-6371417</v>
      </c>
      <c r="E63" s="29">
        <f t="shared" ref="E63:K63" si="58">SUM(E61:E62)</f>
        <v>-7764057</v>
      </c>
      <c r="F63" s="29">
        <f t="shared" si="58"/>
        <v>-8976094</v>
      </c>
      <c r="G63" s="29">
        <f t="shared" si="58"/>
        <v>-5667112.2799999965</v>
      </c>
      <c r="H63" s="29">
        <f t="shared" si="58"/>
        <v>-7038760.8000000054</v>
      </c>
      <c r="I63" s="29">
        <f t="shared" si="58"/>
        <v>-8733113.0699999947</v>
      </c>
      <c r="J63" s="29">
        <f t="shared" si="58"/>
        <v>-11747504.549999995</v>
      </c>
      <c r="K63" s="29">
        <f t="shared" si="58"/>
        <v>-11504049.893166052</v>
      </c>
    </row>
    <row r="64" spans="1:11" x14ac:dyDescent="0.25">
      <c r="A64" s="56"/>
      <c r="B64" s="16" t="s">
        <v>21</v>
      </c>
      <c r="C64" s="16" t="s">
        <v>54</v>
      </c>
      <c r="D64" s="17">
        <f>SUM(D63,D60)</f>
        <v>-13896240</v>
      </c>
      <c r="E64" s="17">
        <f t="shared" ref="E64:K64" si="59">SUM(E63,E60)</f>
        <v>-16358255</v>
      </c>
      <c r="F64" s="17">
        <f t="shared" si="59"/>
        <v>-19291044</v>
      </c>
      <c r="G64" s="17">
        <f t="shared" si="59"/>
        <v>-13124797.99</v>
      </c>
      <c r="H64" s="17">
        <f t="shared" si="59"/>
        <v>-15782932.580000017</v>
      </c>
      <c r="I64" s="17">
        <f t="shared" si="59"/>
        <v>-20189408.500000011</v>
      </c>
      <c r="J64" s="17">
        <f t="shared" si="59"/>
        <v>-27691174.579999976</v>
      </c>
      <c r="K64" s="17">
        <f t="shared" si="59"/>
        <v>-26446082.968213297</v>
      </c>
    </row>
    <row r="65" spans="1:11" x14ac:dyDescent="0.25">
      <c r="A65" s="56"/>
      <c r="C65" s="22" t="s">
        <v>61</v>
      </c>
      <c r="D65" s="18">
        <f>-D64/D$13</f>
        <v>0.10431799214214423</v>
      </c>
      <c r="E65" s="18">
        <f t="shared" ref="E65" si="60">-E64/E$13</f>
        <v>0.11764888009656579</v>
      </c>
      <c r="F65" s="18">
        <f t="shared" ref="F65" si="61">-F64/F$13</f>
        <v>0.13644226050565525</v>
      </c>
      <c r="G65" s="18">
        <f t="shared" ref="G65" si="62">-G64/G$13</f>
        <v>9.3984905538786967E-2</v>
      </c>
      <c r="H65" s="18">
        <f t="shared" ref="H65" si="63">-H64/H$13</f>
        <v>0.10783255961359253</v>
      </c>
      <c r="I65" s="18">
        <f t="shared" ref="I65" si="64">-I64/I$13</f>
        <v>0.12629925226899885</v>
      </c>
      <c r="J65" s="18">
        <f t="shared" ref="J65" si="65">-J64/J$13</f>
        <v>0.15907581501409246</v>
      </c>
      <c r="K65" s="18">
        <f t="shared" ref="K65" si="66">-K64/K$13</f>
        <v>0.14526647100783788</v>
      </c>
    </row>
    <row r="66" spans="1:11" x14ac:dyDescent="0.25">
      <c r="A66" s="56"/>
      <c r="C66" s="22" t="s">
        <v>62</v>
      </c>
      <c r="D66" s="19">
        <f t="shared" ref="D66" si="67">D65*D$2</f>
        <v>42.666058786136986</v>
      </c>
      <c r="E66" s="19">
        <f t="shared" ref="E66" si="68">E65*E$2</f>
        <v>49.412529640557636</v>
      </c>
      <c r="F66" s="19">
        <f t="shared" ref="F66" si="69">F65*F$2</f>
        <v>59.625267840971347</v>
      </c>
      <c r="G66" s="19">
        <f t="shared" ref="G66" si="70">G65*G$2</f>
        <v>42.716139567378676</v>
      </c>
      <c r="H66" s="19">
        <f t="shared" ref="H66" si="71">H65*H$2</f>
        <v>49.009898344377802</v>
      </c>
      <c r="I66" s="19">
        <f t="shared" ref="I66" si="72">I65*I$2</f>
        <v>62.770728377692429</v>
      </c>
      <c r="J66" s="19">
        <f t="shared" ref="J66" si="73">J65*J$2</f>
        <v>84.946485217525378</v>
      </c>
      <c r="K66" s="19">
        <f>K65*K$2</f>
        <v>81.639756706404881</v>
      </c>
    </row>
    <row r="67" spans="1:11" x14ac:dyDescent="0.25">
      <c r="A67" s="56"/>
      <c r="J67" s="52"/>
      <c r="K67" s="52"/>
    </row>
    <row r="68" spans="1:11" x14ac:dyDescent="0.25">
      <c r="A68" s="56"/>
      <c r="B68" s="16" t="s">
        <v>74</v>
      </c>
      <c r="H68" s="2"/>
      <c r="J68" s="52"/>
      <c r="K68" s="52"/>
    </row>
    <row r="69" spans="1:11" x14ac:dyDescent="0.25">
      <c r="A69" s="56">
        <v>121</v>
      </c>
      <c r="B69" s="1" t="s">
        <v>75</v>
      </c>
      <c r="C69" s="1" t="s">
        <v>10</v>
      </c>
      <c r="D69" s="2">
        <v>-4123164</v>
      </c>
      <c r="E69" s="2">
        <v>-4310322</v>
      </c>
      <c r="F69" s="2">
        <v>-4126466</v>
      </c>
      <c r="G69" s="2">
        <v>-2556570.3899999997</v>
      </c>
      <c r="H69" s="2">
        <v>-3152610.5899999985</v>
      </c>
      <c r="I69" s="2">
        <v>-5207351.2999999989</v>
      </c>
      <c r="J69" s="2">
        <v>-7108961.3000000017</v>
      </c>
      <c r="K69" s="2">
        <v>-7773717.5756777348</v>
      </c>
    </row>
    <row r="70" spans="1:11" x14ac:dyDescent="0.25">
      <c r="A70" s="56"/>
      <c r="B70" s="4"/>
      <c r="C70" s="4" t="s">
        <v>11</v>
      </c>
      <c r="D70" s="5">
        <v>1861379</v>
      </c>
      <c r="E70" s="5">
        <v>2087979</v>
      </c>
      <c r="F70" s="5">
        <v>2293242</v>
      </c>
      <c r="G70" s="5">
        <v>947109.55000000016</v>
      </c>
      <c r="H70" s="5">
        <v>1897282.4599999997</v>
      </c>
      <c r="I70" s="5">
        <v>3282074.74</v>
      </c>
      <c r="J70" s="5">
        <v>3948451.78</v>
      </c>
      <c r="K70" s="5">
        <v>3921996.8000000003</v>
      </c>
    </row>
    <row r="71" spans="1:11" x14ac:dyDescent="0.25">
      <c r="A71" s="56"/>
      <c r="B71" s="16" t="s">
        <v>74</v>
      </c>
      <c r="C71" s="16" t="s">
        <v>54</v>
      </c>
      <c r="D71" s="17">
        <f>SUM(D69:D70)</f>
        <v>-2261785</v>
      </c>
      <c r="E71" s="17">
        <f t="shared" ref="E71:K71" si="74">SUM(E69:E70)</f>
        <v>-2222343</v>
      </c>
      <c r="F71" s="17">
        <f>SUM(F69:F70)</f>
        <v>-1833224</v>
      </c>
      <c r="G71" s="17">
        <f>SUM(G69:G70)</f>
        <v>-1609460.8399999994</v>
      </c>
      <c r="H71" s="17">
        <f t="shared" si="74"/>
        <v>-1255328.1299999987</v>
      </c>
      <c r="I71" s="17">
        <f>SUM(I69:I70)</f>
        <v>-1925276.5599999987</v>
      </c>
      <c r="J71" s="17">
        <f t="shared" si="74"/>
        <v>-3160509.5200000019</v>
      </c>
      <c r="K71" s="17">
        <f t="shared" si="74"/>
        <v>-3851720.7756777345</v>
      </c>
    </row>
    <row r="72" spans="1:11" x14ac:dyDescent="0.25">
      <c r="A72" s="56"/>
      <c r="C72" s="22" t="s">
        <v>61</v>
      </c>
      <c r="D72" s="18">
        <f t="shared" ref="D72:K72" si="75">-D71/D$13</f>
        <v>1.6979043961331965E-2</v>
      </c>
      <c r="E72" s="18">
        <f t="shared" si="75"/>
        <v>1.5983132989456535E-2</v>
      </c>
      <c r="F72" s="18">
        <f t="shared" si="75"/>
        <v>1.2966080351753867E-2</v>
      </c>
      <c r="G72" s="18">
        <f t="shared" si="75"/>
        <v>1.1525131672961975E-2</v>
      </c>
      <c r="H72" s="18">
        <f t="shared" si="75"/>
        <v>8.5766852723161251E-3</v>
      </c>
      <c r="I72" s="18">
        <f t="shared" si="75"/>
        <v>1.2043987813661308E-2</v>
      </c>
      <c r="J72" s="18">
        <f t="shared" si="75"/>
        <v>1.8155987796809409E-2</v>
      </c>
      <c r="K72" s="18">
        <f t="shared" si="75"/>
        <v>2.1157230923868578E-2</v>
      </c>
    </row>
    <row r="73" spans="1:11" x14ac:dyDescent="0.25">
      <c r="A73" s="56"/>
      <c r="C73" s="22" t="s">
        <v>62</v>
      </c>
      <c r="D73" s="19">
        <f t="shared" ref="D73:K73" si="76">D72*D$2</f>
        <v>6.9444289801847736</v>
      </c>
      <c r="E73" s="19">
        <f t="shared" si="76"/>
        <v>6.7129158555717447</v>
      </c>
      <c r="F73" s="19">
        <f t="shared" si="76"/>
        <v>5.6661771137164401</v>
      </c>
      <c r="G73" s="19">
        <f t="shared" si="76"/>
        <v>5.2381723453612175</v>
      </c>
      <c r="H73" s="19">
        <f t="shared" si="76"/>
        <v>3.8981034562676786</v>
      </c>
      <c r="I73" s="19">
        <f t="shared" si="76"/>
        <v>5.9858619433896703</v>
      </c>
      <c r="J73" s="19">
        <f t="shared" si="76"/>
        <v>9.6952974834962244</v>
      </c>
      <c r="K73" s="19">
        <f t="shared" si="76"/>
        <v>11.890363779214141</v>
      </c>
    </row>
    <row r="74" spans="1:11" x14ac:dyDescent="0.25">
      <c r="A74" s="56"/>
      <c r="D74" s="52"/>
      <c r="E74" s="52"/>
      <c r="F74" s="52"/>
      <c r="G74" s="52"/>
      <c r="H74" s="52"/>
      <c r="I74" s="52"/>
      <c r="J74" s="52"/>
      <c r="K74" s="52"/>
    </row>
    <row r="75" spans="1:11" x14ac:dyDescent="0.25">
      <c r="A75" s="56"/>
      <c r="B75" s="16" t="s">
        <v>76</v>
      </c>
      <c r="D75" s="52"/>
      <c r="E75" s="52"/>
      <c r="F75" s="52"/>
      <c r="G75" s="52"/>
      <c r="H75" s="52"/>
      <c r="I75" s="52"/>
      <c r="J75" s="52"/>
      <c r="K75" s="52"/>
    </row>
    <row r="76" spans="1:11" x14ac:dyDescent="0.25">
      <c r="A76" s="56">
        <v>124</v>
      </c>
      <c r="B76" s="1" t="s">
        <v>56</v>
      </c>
      <c r="C76" s="1" t="s">
        <v>10</v>
      </c>
      <c r="D76" s="2">
        <v>-4921503</v>
      </c>
      <c r="E76" s="2">
        <v>-5887999</v>
      </c>
      <c r="F76" s="2">
        <v>-5815791</v>
      </c>
      <c r="G76" s="2">
        <v>-4238005.6800000006</v>
      </c>
      <c r="H76" s="2">
        <v>-3982221.8600000003</v>
      </c>
      <c r="I76" s="2">
        <v>-4259221.2199999988</v>
      </c>
      <c r="J76" s="2">
        <v>-5358966.1900000013</v>
      </c>
      <c r="K76" s="2">
        <v>-4887136.7775224084</v>
      </c>
    </row>
    <row r="77" spans="1:11" x14ac:dyDescent="0.25">
      <c r="A77" s="56"/>
      <c r="B77" s="4"/>
      <c r="C77" s="4" t="s">
        <v>11</v>
      </c>
      <c r="D77" s="5">
        <v>12606547</v>
      </c>
      <c r="E77" s="5">
        <v>9817970</v>
      </c>
      <c r="F77" s="5">
        <v>8796935</v>
      </c>
      <c r="G77" s="5">
        <v>6436086.0600000005</v>
      </c>
      <c r="H77" s="5">
        <v>151199.32</v>
      </c>
      <c r="I77" s="5">
        <v>0</v>
      </c>
      <c r="J77" s="5">
        <v>112000</v>
      </c>
      <c r="K77" s="5">
        <v>0</v>
      </c>
    </row>
    <row r="78" spans="1:11" x14ac:dyDescent="0.25">
      <c r="A78" s="56"/>
      <c r="B78" s="21" t="s">
        <v>56</v>
      </c>
      <c r="C78" s="21" t="s">
        <v>54</v>
      </c>
      <c r="D78" s="29">
        <f>SUM(D76:D77)</f>
        <v>7685044</v>
      </c>
      <c r="E78" s="29">
        <f t="shared" ref="E78:K78" si="77">SUM(E76:E77)</f>
        <v>3929971</v>
      </c>
      <c r="F78" s="29">
        <f t="shared" si="77"/>
        <v>2981144</v>
      </c>
      <c r="G78" s="29">
        <f t="shared" si="77"/>
        <v>2198080.38</v>
      </c>
      <c r="H78" s="29">
        <f t="shared" si="77"/>
        <v>-3831022.5400000005</v>
      </c>
      <c r="I78" s="29">
        <f t="shared" si="77"/>
        <v>-4259221.2199999988</v>
      </c>
      <c r="J78" s="29">
        <f t="shared" si="77"/>
        <v>-5246966.1900000013</v>
      </c>
      <c r="K78" s="29">
        <f t="shared" si="77"/>
        <v>-4887136.7775224084</v>
      </c>
    </row>
    <row r="79" spans="1:11" x14ac:dyDescent="0.25">
      <c r="A79" s="56">
        <v>125</v>
      </c>
      <c r="B79" s="1" t="s">
        <v>24</v>
      </c>
      <c r="C79" s="1" t="s">
        <v>10</v>
      </c>
      <c r="D79" s="2">
        <v>-10322702</v>
      </c>
      <c r="E79" s="2">
        <v>-11493914</v>
      </c>
      <c r="F79" s="2">
        <v>-11343331</v>
      </c>
      <c r="G79" s="2">
        <v>-7601847.7899999972</v>
      </c>
      <c r="H79" s="2">
        <v>-9320036.0700000022</v>
      </c>
      <c r="I79" s="2">
        <v>-13165931.269999994</v>
      </c>
      <c r="J79" s="2">
        <v>-17961783.030000005</v>
      </c>
      <c r="K79" s="2">
        <v>-14716583.113427378</v>
      </c>
    </row>
    <row r="80" spans="1:11" x14ac:dyDescent="0.25">
      <c r="A80" s="56"/>
      <c r="B80" s="4"/>
      <c r="C80" s="4" t="s">
        <v>11</v>
      </c>
      <c r="D80" s="5">
        <v>548231</v>
      </c>
      <c r="E80" s="5">
        <v>695447</v>
      </c>
      <c r="F80" s="5">
        <v>276849</v>
      </c>
      <c r="G80" s="5">
        <v>129244.6</v>
      </c>
      <c r="H80" s="5">
        <v>0</v>
      </c>
      <c r="I80" s="5">
        <v>1140039.3699999999</v>
      </c>
      <c r="J80" s="5">
        <v>1935416.38</v>
      </c>
      <c r="K80" s="5">
        <v>916666.62999999989</v>
      </c>
    </row>
    <row r="81" spans="1:11" x14ac:dyDescent="0.25">
      <c r="A81" s="56"/>
      <c r="B81" s="21" t="s">
        <v>24</v>
      </c>
      <c r="C81" s="21" t="s">
        <v>54</v>
      </c>
      <c r="D81" s="29">
        <f>SUM(D79:D80)</f>
        <v>-9774471</v>
      </c>
      <c r="E81" s="29">
        <f t="shared" ref="E81:K81" si="78">SUM(E79:E80)</f>
        <v>-10798467</v>
      </c>
      <c r="F81" s="29">
        <f t="shared" si="78"/>
        <v>-11066482</v>
      </c>
      <c r="G81" s="29">
        <f t="shared" si="78"/>
        <v>-7472603.1899999976</v>
      </c>
      <c r="H81" s="29">
        <f t="shared" si="78"/>
        <v>-9320036.0700000022</v>
      </c>
      <c r="I81" s="29">
        <f t="shared" si="78"/>
        <v>-12025891.899999995</v>
      </c>
      <c r="J81" s="29">
        <f t="shared" si="78"/>
        <v>-16026366.650000006</v>
      </c>
      <c r="K81" s="29">
        <f t="shared" si="78"/>
        <v>-13799916.483427379</v>
      </c>
    </row>
    <row r="82" spans="1:11" x14ac:dyDescent="0.25">
      <c r="A82" s="56">
        <v>123</v>
      </c>
      <c r="B82" s="1" t="s">
        <v>34</v>
      </c>
      <c r="C82" s="1" t="s">
        <v>10</v>
      </c>
      <c r="D82" s="2">
        <v>-6416782</v>
      </c>
      <c r="E82" s="2">
        <v>-6581290</v>
      </c>
      <c r="F82" s="2">
        <v>-6946155</v>
      </c>
      <c r="G82" s="2">
        <v>-5316752.3400000008</v>
      </c>
      <c r="H82" s="2">
        <v>-5366137.26</v>
      </c>
      <c r="I82" s="2">
        <v>-6880813.6500000004</v>
      </c>
      <c r="J82" s="2">
        <v>-8623111.1900000013</v>
      </c>
      <c r="K82" s="58">
        <v>-8682676.6003306936</v>
      </c>
    </row>
    <row r="83" spans="1:11" x14ac:dyDescent="0.25">
      <c r="A83" s="56"/>
      <c r="B83" s="4"/>
      <c r="C83" s="4" t="s">
        <v>11</v>
      </c>
      <c r="D83" s="5">
        <v>4516473</v>
      </c>
      <c r="E83" s="5">
        <v>4936563</v>
      </c>
      <c r="F83" s="5">
        <v>5219315</v>
      </c>
      <c r="G83" s="5">
        <v>3307160.03</v>
      </c>
      <c r="H83" s="5">
        <v>4047730.64</v>
      </c>
      <c r="I83" s="5">
        <v>6700515.6299999999</v>
      </c>
      <c r="J83" s="5">
        <v>8045840.9300000006</v>
      </c>
      <c r="K83" s="59">
        <v>8589144.8000000007</v>
      </c>
    </row>
    <row r="84" spans="1:11" x14ac:dyDescent="0.25">
      <c r="A84" s="56"/>
      <c r="B84" s="21" t="s">
        <v>34</v>
      </c>
      <c r="C84" s="21" t="s">
        <v>54</v>
      </c>
      <c r="D84" s="29">
        <f>SUM(D82:D83)</f>
        <v>-1900309</v>
      </c>
      <c r="E84" s="29">
        <f t="shared" ref="E84:K84" si="79">SUM(E82:E83)</f>
        <v>-1644727</v>
      </c>
      <c r="F84" s="29">
        <f t="shared" si="79"/>
        <v>-1726840</v>
      </c>
      <c r="G84" s="29">
        <f t="shared" si="79"/>
        <v>-2009592.310000001</v>
      </c>
      <c r="H84" s="29">
        <f t="shared" si="79"/>
        <v>-1318406.6199999996</v>
      </c>
      <c r="I84" s="29">
        <f t="shared" si="79"/>
        <v>-180298.02000000048</v>
      </c>
      <c r="J84" s="29">
        <f t="shared" si="79"/>
        <v>-577270.26000000071</v>
      </c>
      <c r="K84" s="29">
        <f t="shared" si="79"/>
        <v>-93531.800330692902</v>
      </c>
    </row>
    <row r="85" spans="1:11" x14ac:dyDescent="0.25">
      <c r="A85" s="56"/>
      <c r="B85" s="16" t="s">
        <v>76</v>
      </c>
      <c r="C85" s="16" t="s">
        <v>54</v>
      </c>
      <c r="D85" s="17">
        <f>SUM(D81,D78,D84)</f>
        <v>-3989736</v>
      </c>
      <c r="E85" s="17">
        <f t="shared" ref="E85:K85" si="80">SUM(E81,E78,E84)</f>
        <v>-8513223</v>
      </c>
      <c r="F85" s="17">
        <f t="shared" si="80"/>
        <v>-9812178</v>
      </c>
      <c r="G85" s="17">
        <f t="shared" si="80"/>
        <v>-7284115.1199999992</v>
      </c>
      <c r="H85" s="17">
        <f t="shared" si="80"/>
        <v>-14469465.230000002</v>
      </c>
      <c r="I85" s="17">
        <f t="shared" si="80"/>
        <v>-16465411.139999993</v>
      </c>
      <c r="J85" s="17">
        <f t="shared" si="80"/>
        <v>-21850603.100000009</v>
      </c>
      <c r="K85" s="17">
        <f t="shared" si="80"/>
        <v>-18780585.061280482</v>
      </c>
    </row>
    <row r="86" spans="1:11" x14ac:dyDescent="0.25">
      <c r="A86" s="56"/>
      <c r="C86" s="22" t="s">
        <v>61</v>
      </c>
      <c r="D86" s="18">
        <f>-D85/D$13</f>
        <v>2.9950637632714314E-2</v>
      </c>
      <c r="E86" s="18">
        <f t="shared" ref="E86:K86" si="81">-E85/E$13</f>
        <v>6.1227261218407845E-2</v>
      </c>
      <c r="F86" s="18">
        <f t="shared" si="81"/>
        <v>6.9399859686383958E-2</v>
      </c>
      <c r="G86" s="18">
        <f t="shared" si="81"/>
        <v>5.2160564452759989E-2</v>
      </c>
      <c r="H86" s="18">
        <f t="shared" si="81"/>
        <v>9.8858654060776444E-2</v>
      </c>
      <c r="I86" s="18">
        <f t="shared" si="81"/>
        <v>0.10300297382578802</v>
      </c>
      <c r="J86" s="18">
        <f t="shared" si="81"/>
        <v>0.12552383744647785</v>
      </c>
      <c r="K86" s="18">
        <f t="shared" si="81"/>
        <v>0.10316043092634415</v>
      </c>
    </row>
    <row r="87" spans="1:11" x14ac:dyDescent="0.25">
      <c r="A87" s="56"/>
      <c r="C87" s="22" t="s">
        <v>62</v>
      </c>
      <c r="D87" s="19">
        <f t="shared" ref="D87" si="82">D86*D$2</f>
        <v>12.249810791780154</v>
      </c>
      <c r="E87" s="19">
        <f t="shared" ref="E87" si="83">E86*E$2</f>
        <v>25.715449711731296</v>
      </c>
      <c r="F87" s="19">
        <f t="shared" ref="F87" si="84">F86*F$2</f>
        <v>30.327738682949789</v>
      </c>
      <c r="G87" s="19">
        <f t="shared" ref="G87" si="85">G86*G$2</f>
        <v>23.706976543779415</v>
      </c>
      <c r="H87" s="19">
        <f t="shared" ref="H87" si="86">H86*H$2</f>
        <v>44.931258270622891</v>
      </c>
      <c r="I87" s="19">
        <f t="shared" ref="I87" si="87">I86*I$2</f>
        <v>51.192477991416645</v>
      </c>
      <c r="J87" s="19">
        <f t="shared" ref="J87" si="88">J86*J$2</f>
        <v>67.029729196419169</v>
      </c>
      <c r="K87" s="19">
        <f>K86*K$2</f>
        <v>57.976162180605414</v>
      </c>
    </row>
    <row r="88" spans="1:11" x14ac:dyDescent="0.25">
      <c r="A88" s="56"/>
      <c r="D88" s="52"/>
      <c r="E88" s="52"/>
      <c r="F88" s="52"/>
      <c r="G88" s="52"/>
      <c r="H88" s="52"/>
      <c r="I88" s="52"/>
      <c r="J88" s="52"/>
      <c r="K88" s="52"/>
    </row>
    <row r="89" spans="1:11" x14ac:dyDescent="0.25">
      <c r="A89" s="56"/>
      <c r="B89" s="16" t="s">
        <v>25</v>
      </c>
      <c r="D89" s="52"/>
      <c r="E89" s="52"/>
      <c r="F89" s="52"/>
      <c r="G89" s="52"/>
      <c r="H89" s="52"/>
      <c r="I89" s="52"/>
      <c r="J89" s="52"/>
      <c r="K89" s="52"/>
    </row>
    <row r="90" spans="1:11" x14ac:dyDescent="0.25">
      <c r="A90" s="56">
        <v>109</v>
      </c>
      <c r="B90" s="1" t="s">
        <v>26</v>
      </c>
      <c r="C90" s="1" t="s">
        <v>10</v>
      </c>
      <c r="D90" s="2">
        <v>-11925590</v>
      </c>
      <c r="E90" s="2">
        <v>-10142750</v>
      </c>
      <c r="F90" s="2">
        <v>-9188500</v>
      </c>
      <c r="G90" s="2">
        <v>-9212789.2999999952</v>
      </c>
      <c r="H90" s="2">
        <v>-12899459.269999992</v>
      </c>
      <c r="I90" s="2">
        <v>-9143957.3400000036</v>
      </c>
      <c r="J90" s="2">
        <v>-9688519.7400000021</v>
      </c>
      <c r="K90" s="2">
        <v>-9937428.5789868962</v>
      </c>
    </row>
    <row r="91" spans="1:11" x14ac:dyDescent="0.25">
      <c r="A91" s="56"/>
      <c r="B91" s="6"/>
      <c r="C91" s="6" t="s">
        <v>11</v>
      </c>
      <c r="D91" s="7">
        <v>2301866</v>
      </c>
      <c r="E91" s="7">
        <v>1153218</v>
      </c>
      <c r="F91" s="7">
        <v>1014884</v>
      </c>
      <c r="G91" s="7">
        <v>478379.19999999995</v>
      </c>
      <c r="H91" s="7">
        <v>1416728.92</v>
      </c>
      <c r="I91" s="7">
        <v>4010929.3100000005</v>
      </c>
      <c r="J91" s="7">
        <v>3738141.35</v>
      </c>
      <c r="K91" s="7">
        <v>3275975.2666000007</v>
      </c>
    </row>
    <row r="92" spans="1:11" x14ac:dyDescent="0.25">
      <c r="A92" s="56"/>
      <c r="B92" s="21" t="s">
        <v>26</v>
      </c>
      <c r="C92" s="21" t="s">
        <v>54</v>
      </c>
      <c r="D92" s="29">
        <f>SUM(D90:D91)</f>
        <v>-9623724</v>
      </c>
      <c r="E92" s="29">
        <f t="shared" ref="E92:K92" si="89">SUM(E90:E91)</f>
        <v>-8989532</v>
      </c>
      <c r="F92" s="29">
        <f t="shared" si="89"/>
        <v>-8173616</v>
      </c>
      <c r="G92" s="29">
        <f t="shared" si="89"/>
        <v>-8734410.0999999959</v>
      </c>
      <c r="H92" s="29">
        <f t="shared" si="89"/>
        <v>-11482730.349999992</v>
      </c>
      <c r="I92" s="29">
        <f t="shared" si="89"/>
        <v>-5133028.0300000031</v>
      </c>
      <c r="J92" s="29">
        <f t="shared" si="89"/>
        <v>-5950378.3900000025</v>
      </c>
      <c r="K92" s="29">
        <f t="shared" si="89"/>
        <v>-6661453.3123868955</v>
      </c>
    </row>
    <row r="93" spans="1:11" x14ac:dyDescent="0.25">
      <c r="A93" s="56">
        <v>116</v>
      </c>
      <c r="B93" s="4" t="s">
        <v>39</v>
      </c>
      <c r="C93" s="4" t="s">
        <v>10</v>
      </c>
      <c r="D93" s="5">
        <v>-3494642</v>
      </c>
      <c r="E93" s="5">
        <v>-3870078</v>
      </c>
      <c r="F93" s="5">
        <v>-4004507</v>
      </c>
      <c r="G93" s="5">
        <v>-3293549.2700000014</v>
      </c>
      <c r="H93" s="5">
        <v>-3433790.0099999988</v>
      </c>
      <c r="I93" s="5">
        <v>-3827280.1599999997</v>
      </c>
      <c r="J93" s="5">
        <v>-4356444.2299999986</v>
      </c>
      <c r="K93" s="5">
        <v>-4719940.9064420843</v>
      </c>
    </row>
    <row r="94" spans="1:11" x14ac:dyDescent="0.25">
      <c r="A94" s="56"/>
      <c r="B94" s="16" t="s">
        <v>25</v>
      </c>
      <c r="C94" s="16" t="s">
        <v>54</v>
      </c>
      <c r="D94" s="17">
        <f>SUM(D92:D93)</f>
        <v>-13118366</v>
      </c>
      <c r="E94" s="17">
        <f t="shared" ref="E94:K94" si="90">SUM(E92:E93)</f>
        <v>-12859610</v>
      </c>
      <c r="F94" s="17">
        <f t="shared" si="90"/>
        <v>-12178123</v>
      </c>
      <c r="G94" s="17">
        <f t="shared" si="90"/>
        <v>-12027959.369999997</v>
      </c>
      <c r="H94" s="17">
        <f t="shared" si="90"/>
        <v>-14916520.359999992</v>
      </c>
      <c r="I94" s="17">
        <f t="shared" si="90"/>
        <v>-8960308.1900000032</v>
      </c>
      <c r="J94" s="17">
        <f t="shared" si="90"/>
        <v>-10306822.620000001</v>
      </c>
      <c r="K94" s="17">
        <f t="shared" si="90"/>
        <v>-11381394.21882898</v>
      </c>
    </row>
    <row r="95" spans="1:11" x14ac:dyDescent="0.25">
      <c r="A95" s="56"/>
      <c r="C95" s="22" t="s">
        <v>61</v>
      </c>
      <c r="D95" s="18">
        <f>-D94/D$13</f>
        <v>9.8478552565713612E-2</v>
      </c>
      <c r="E95" s="18">
        <f t="shared" ref="E95:K95" si="91">-E94/E$13</f>
        <v>9.248655892566772E-2</v>
      </c>
      <c r="F95" s="18">
        <f t="shared" si="91"/>
        <v>8.6133784715638595E-2</v>
      </c>
      <c r="G95" s="18">
        <f t="shared" si="91"/>
        <v>8.6130592339411491E-2</v>
      </c>
      <c r="H95" s="18">
        <f t="shared" si="91"/>
        <v>0.10191303566647207</v>
      </c>
      <c r="I95" s="18">
        <f t="shared" si="91"/>
        <v>5.6053163939735348E-2</v>
      </c>
      <c r="J95" s="18">
        <f t="shared" si="91"/>
        <v>5.9208980238287363E-2</v>
      </c>
      <c r="K95" s="18">
        <f t="shared" si="91"/>
        <v>6.2517196792640686E-2</v>
      </c>
    </row>
    <row r="96" spans="1:11" x14ac:dyDescent="0.25">
      <c r="A96" s="56"/>
      <c r="C96" s="22" t="s">
        <v>62</v>
      </c>
      <c r="D96" s="19">
        <f t="shared" ref="D96" si="92">D95*D$2</f>
        <v>40.277727999376864</v>
      </c>
      <c r="E96" s="19">
        <f t="shared" ref="E96" si="93">E95*E$2</f>
        <v>38.844354748780439</v>
      </c>
      <c r="F96" s="19">
        <f t="shared" ref="F96" si="94">F95*F$2</f>
        <v>37.640463920734064</v>
      </c>
      <c r="G96" s="19">
        <f t="shared" ref="G96" si="95">G95*G$2</f>
        <v>39.146354218262523</v>
      </c>
      <c r="H96" s="19">
        <f t="shared" ref="H96" si="96">H95*H$2</f>
        <v>46.319474710411555</v>
      </c>
      <c r="I96" s="19">
        <f t="shared" ref="I96" si="97">I95*I$2</f>
        <v>27.858422478048467</v>
      </c>
      <c r="J96" s="19">
        <f t="shared" ref="J96" si="98">J95*J$2</f>
        <v>31.617595447245453</v>
      </c>
      <c r="K96" s="19">
        <f>K95*K$2</f>
        <v>35.134664597464067</v>
      </c>
    </row>
    <row r="97" spans="1:13" x14ac:dyDescent="0.25">
      <c r="A97" s="56"/>
      <c r="D97" s="2"/>
      <c r="E97" s="2"/>
      <c r="F97" s="2"/>
      <c r="G97" s="2"/>
      <c r="H97" s="2"/>
      <c r="I97" s="2"/>
      <c r="J97" s="2"/>
      <c r="K97" s="2"/>
    </row>
    <row r="98" spans="1:13" x14ac:dyDescent="0.25">
      <c r="A98" s="56"/>
      <c r="B98" s="16" t="s">
        <v>6</v>
      </c>
      <c r="D98" s="2"/>
      <c r="E98" s="2"/>
      <c r="F98" s="2"/>
      <c r="G98" s="2"/>
      <c r="H98" s="2"/>
      <c r="I98" s="2"/>
      <c r="J98" s="2"/>
      <c r="K98" s="2"/>
    </row>
    <row r="99" spans="1:13" x14ac:dyDescent="0.25">
      <c r="A99" s="56">
        <v>103</v>
      </c>
      <c r="B99" s="1" t="s">
        <v>7</v>
      </c>
      <c r="C99" s="1" t="s">
        <v>10</v>
      </c>
      <c r="D99" s="2">
        <v>-1316103</v>
      </c>
      <c r="E99" s="2">
        <v>-1072148</v>
      </c>
      <c r="F99" s="2">
        <v>-1009349</v>
      </c>
      <c r="G99" s="2">
        <v>-1026794.6899999995</v>
      </c>
      <c r="H99" s="2">
        <v>-1857304.7899999996</v>
      </c>
      <c r="I99" s="2">
        <v>-2038844.71</v>
      </c>
      <c r="J99" s="2">
        <v>-1409957.4600000004</v>
      </c>
      <c r="K99" s="2">
        <v>-1704504.8408709471</v>
      </c>
    </row>
    <row r="100" spans="1:13" x14ac:dyDescent="0.25">
      <c r="A100" s="56">
        <v>4735</v>
      </c>
      <c r="C100" s="9" t="s">
        <v>46</v>
      </c>
      <c r="D100" s="10">
        <v>-762725</v>
      </c>
      <c r="E100" s="10">
        <v>-1264715</v>
      </c>
      <c r="F100" s="10">
        <v>-8009000</v>
      </c>
      <c r="G100" s="10">
        <v>-7588839.4299999997</v>
      </c>
      <c r="H100" s="10">
        <v>-981414.04999999981</v>
      </c>
      <c r="I100" s="10">
        <v>589272.68999999994</v>
      </c>
      <c r="J100" s="10">
        <v>-2004308.6</v>
      </c>
      <c r="K100" s="60">
        <v>-2178000</v>
      </c>
      <c r="M100" s="47"/>
    </row>
    <row r="101" spans="1:13" x14ac:dyDescent="0.25">
      <c r="A101" s="56"/>
      <c r="B101" s="16" t="s">
        <v>6</v>
      </c>
      <c r="C101" s="16" t="s">
        <v>54</v>
      </c>
      <c r="D101" s="17">
        <f>SUM(D99:D100)</f>
        <v>-2078828</v>
      </c>
      <c r="E101" s="17">
        <f t="shared" ref="E101:K101" si="99">SUM(E99:E100)</f>
        <v>-2336863</v>
      </c>
      <c r="F101" s="17">
        <f t="shared" si="99"/>
        <v>-9018349</v>
      </c>
      <c r="G101" s="17">
        <f t="shared" si="99"/>
        <v>-8615634.1199999992</v>
      </c>
      <c r="H101" s="17">
        <f t="shared" si="99"/>
        <v>-2838718.8399999994</v>
      </c>
      <c r="I101" s="17">
        <f t="shared" si="99"/>
        <v>-1449572.02</v>
      </c>
      <c r="J101" s="17">
        <f t="shared" si="99"/>
        <v>-3414266.0600000005</v>
      </c>
      <c r="K101" s="17">
        <f t="shared" si="99"/>
        <v>-3882504.8408709471</v>
      </c>
    </row>
    <row r="102" spans="1:13" x14ac:dyDescent="0.25">
      <c r="A102" s="56"/>
      <c r="C102" s="22" t="s">
        <v>61</v>
      </c>
      <c r="D102" s="18">
        <f t="shared" ref="D102" si="100">-D101/D$13-D104</f>
        <v>9.8798827893194462E-3</v>
      </c>
      <c r="E102" s="18">
        <f t="shared" ref="E102" si="101">-E101/E$13-E104</f>
        <v>7.7109087428807541E-3</v>
      </c>
      <c r="F102" s="18">
        <f t="shared" ref="F102" si="102">-F101/F$13-F104</f>
        <v>7.1389531431851269E-3</v>
      </c>
      <c r="G102" s="18">
        <f t="shared" ref="G102" si="103">-G101/G$13-G104</f>
        <v>7.3527380780188251E-3</v>
      </c>
      <c r="H102" s="18">
        <f t="shared" ref="H102" si="104">-H101/H$13-H104</f>
        <v>1.2689525756580639E-2</v>
      </c>
      <c r="I102" s="18">
        <f t="shared" ref="I102" si="105">-I101/I$13-I104</f>
        <v>1.2754438168191192E-2</v>
      </c>
      <c r="J102" s="18">
        <f t="shared" ref="J102" si="106">-J101/J$13-J104</f>
        <v>8.0996973038006802E-3</v>
      </c>
      <c r="K102" s="18">
        <f>-K101/K$13-K104</f>
        <v>9.3627250336735645E-3</v>
      </c>
      <c r="M102" s="48"/>
    </row>
    <row r="103" spans="1:13" x14ac:dyDescent="0.25">
      <c r="A103" s="56"/>
      <c r="C103" s="22" t="s">
        <v>62</v>
      </c>
      <c r="D103" s="19">
        <f t="shared" ref="D103" si="107">D102*D$2</f>
        <v>4.0408720608316537</v>
      </c>
      <c r="E103" s="19">
        <f t="shared" ref="E103" si="108">E102*E$2</f>
        <v>3.2385816720099165</v>
      </c>
      <c r="F103" s="19">
        <f t="shared" ref="F103" si="109">F102*F$2</f>
        <v>3.1197225235719004</v>
      </c>
      <c r="G103" s="19">
        <f t="shared" ref="G103" si="110">G102*G$2</f>
        <v>3.341819456459556</v>
      </c>
      <c r="H103" s="19">
        <f t="shared" ref="H103" si="111">H102*H$2</f>
        <v>5.7673894563659003</v>
      </c>
      <c r="I103" s="19">
        <f t="shared" ref="I103" si="112">I102*I$2</f>
        <v>6.3389557695910224</v>
      </c>
      <c r="J103" s="19">
        <f t="shared" ref="J103" si="113">J102*J$2</f>
        <v>4.3252383602295632</v>
      </c>
      <c r="K103" s="19">
        <f>K102*K$2</f>
        <v>5.2618514689245428</v>
      </c>
    </row>
    <row r="104" spans="1:13" x14ac:dyDescent="0.25">
      <c r="A104" s="56"/>
      <c r="C104" s="23" t="s">
        <v>61</v>
      </c>
      <c r="D104" s="24">
        <f>-D100/D$13</f>
        <v>5.7257172124702046E-3</v>
      </c>
      <c r="E104" s="24">
        <f t="shared" ref="E104:J104" si="114">-E100/E$13</f>
        <v>9.0958542577633267E-3</v>
      </c>
      <c r="F104" s="24">
        <f t="shared" si="114"/>
        <v>5.6646289562648493E-2</v>
      </c>
      <c r="G104" s="24">
        <f t="shared" si="114"/>
        <v>5.4342654075209267E-2</v>
      </c>
      <c r="H104" s="24">
        <f t="shared" si="114"/>
        <v>6.7052424203057799E-3</v>
      </c>
      <c r="I104" s="24">
        <f t="shared" si="114"/>
        <v>-3.6863239519642943E-3</v>
      </c>
      <c r="J104" s="24">
        <f t="shared" si="114"/>
        <v>1.1514030333514112E-2</v>
      </c>
      <c r="K104" s="24">
        <f>-K100/K$13</f>
        <v>1.1963600592017893E-2</v>
      </c>
    </row>
    <row r="105" spans="1:13" x14ac:dyDescent="0.25">
      <c r="A105" s="56"/>
      <c r="C105" s="25" t="s">
        <v>62</v>
      </c>
      <c r="D105" s="26">
        <f t="shared" ref="D105" si="115">D104*D$2</f>
        <v>2.3418183399003136</v>
      </c>
      <c r="E105" s="26">
        <f t="shared" ref="E105" si="116">E104*E$2</f>
        <v>3.8202587882605972</v>
      </c>
      <c r="F105" s="26">
        <f t="shared" ref="F105" si="117">F104*F$2</f>
        <v>24.754428538877391</v>
      </c>
      <c r="G105" s="26">
        <f t="shared" ref="G105" si="118">G104*G$2</f>
        <v>24.698736277182611</v>
      </c>
      <c r="H105" s="26">
        <f t="shared" ref="H105" si="119">H104*H$2</f>
        <v>3.047532680028977</v>
      </c>
      <c r="I105" s="26">
        <f t="shared" ref="I105" si="120">I104*I$2</f>
        <v>-1.8321030041262543</v>
      </c>
      <c r="J105" s="26">
        <f t="shared" ref="J105" si="121">J104*J$2</f>
        <v>6.1484921980965357</v>
      </c>
      <c r="K105" s="26">
        <f>K104*K$2</f>
        <v>6.7235435327140554</v>
      </c>
    </row>
    <row r="106" spans="1:13" x14ac:dyDescent="0.25">
      <c r="A106" s="56"/>
      <c r="D106" s="2"/>
      <c r="E106" s="2"/>
      <c r="F106" s="2"/>
      <c r="G106" s="2"/>
      <c r="H106" s="2"/>
      <c r="I106" s="2"/>
      <c r="J106" s="2"/>
      <c r="K106" s="2"/>
    </row>
    <row r="107" spans="1:13" x14ac:dyDescent="0.25">
      <c r="A107" s="56"/>
      <c r="B107" s="16" t="s">
        <v>77</v>
      </c>
      <c r="D107" s="2"/>
      <c r="E107" s="2"/>
      <c r="F107" s="2"/>
      <c r="G107" s="2"/>
      <c r="H107" s="2"/>
      <c r="I107" s="2"/>
      <c r="J107" s="2"/>
      <c r="K107" s="2"/>
    </row>
    <row r="108" spans="1:13" x14ac:dyDescent="0.25">
      <c r="A108" s="56">
        <v>135</v>
      </c>
      <c r="B108" s="1" t="s">
        <v>79</v>
      </c>
      <c r="C108" s="1" t="s">
        <v>10</v>
      </c>
      <c r="D108" s="2">
        <v>0</v>
      </c>
      <c r="E108" s="2">
        <v>0</v>
      </c>
      <c r="F108" s="2">
        <v>0</v>
      </c>
      <c r="G108" s="2">
        <v>0</v>
      </c>
      <c r="H108" s="2">
        <v>0</v>
      </c>
      <c r="I108" s="2">
        <v>0</v>
      </c>
      <c r="J108" s="2">
        <v>0</v>
      </c>
      <c r="K108" s="2">
        <v>-2519724.7039999994</v>
      </c>
    </row>
    <row r="109" spans="1:13" x14ac:dyDescent="0.25">
      <c r="A109" s="56"/>
      <c r="B109" s="4"/>
      <c r="C109" s="4" t="s">
        <v>11</v>
      </c>
      <c r="D109" s="2">
        <v>0</v>
      </c>
      <c r="E109" s="2">
        <v>0</v>
      </c>
      <c r="F109" s="2">
        <v>0</v>
      </c>
      <c r="G109" s="2">
        <v>0</v>
      </c>
      <c r="H109" s="2">
        <v>0</v>
      </c>
      <c r="I109" s="2">
        <v>0</v>
      </c>
      <c r="J109" s="2">
        <v>0</v>
      </c>
      <c r="K109" s="58">
        <v>4491064.959999999</v>
      </c>
    </row>
    <row r="110" spans="1:13" x14ac:dyDescent="0.25">
      <c r="A110" s="56"/>
      <c r="B110" s="16" t="s">
        <v>77</v>
      </c>
      <c r="C110" s="16" t="s">
        <v>54</v>
      </c>
      <c r="D110" s="17">
        <f>SUM(D108:D109)</f>
        <v>0</v>
      </c>
      <c r="E110" s="17">
        <f t="shared" ref="E110:K110" si="122">SUM(E108:E109)</f>
        <v>0</v>
      </c>
      <c r="F110" s="17">
        <f t="shared" si="122"/>
        <v>0</v>
      </c>
      <c r="G110" s="17">
        <f t="shared" si="122"/>
        <v>0</v>
      </c>
      <c r="H110" s="17">
        <f t="shared" si="122"/>
        <v>0</v>
      </c>
      <c r="I110" s="17">
        <f t="shared" si="122"/>
        <v>0</v>
      </c>
      <c r="J110" s="17">
        <f t="shared" si="122"/>
        <v>0</v>
      </c>
      <c r="K110" s="17">
        <f t="shared" si="122"/>
        <v>1971340.2559999996</v>
      </c>
    </row>
    <row r="111" spans="1:13" x14ac:dyDescent="0.25">
      <c r="A111" s="56"/>
      <c r="C111" s="22" t="s">
        <v>61</v>
      </c>
      <c r="D111" s="18">
        <f>-D110/D$13</f>
        <v>0</v>
      </c>
      <c r="E111" s="18">
        <f t="shared" ref="E111:J111" si="123">-E110/E$13</f>
        <v>0</v>
      </c>
      <c r="F111" s="18">
        <f t="shared" si="123"/>
        <v>0</v>
      </c>
      <c r="G111" s="18">
        <f t="shared" si="123"/>
        <v>0</v>
      </c>
      <c r="H111" s="18">
        <f t="shared" si="123"/>
        <v>0</v>
      </c>
      <c r="I111" s="18">
        <f t="shared" si="123"/>
        <v>0</v>
      </c>
      <c r="J111" s="18">
        <f t="shared" si="123"/>
        <v>0</v>
      </c>
      <c r="K111" s="18">
        <f>-K110/K$13</f>
        <v>-1.0828433174357346E-2</v>
      </c>
    </row>
    <row r="112" spans="1:13" x14ac:dyDescent="0.25">
      <c r="A112" s="56"/>
      <c r="C112" s="22" t="s">
        <v>62</v>
      </c>
      <c r="D112" s="19">
        <f t="shared" ref="D112:J112" si="124">D111*D$2</f>
        <v>0</v>
      </c>
      <c r="E112" s="19">
        <f t="shared" si="124"/>
        <v>0</v>
      </c>
      <c r="F112" s="19">
        <f t="shared" si="124"/>
        <v>0</v>
      </c>
      <c r="G112" s="19">
        <f t="shared" si="124"/>
        <v>0</v>
      </c>
      <c r="H112" s="19">
        <f t="shared" si="124"/>
        <v>0</v>
      </c>
      <c r="I112" s="19">
        <f t="shared" si="124"/>
        <v>0</v>
      </c>
      <c r="J112" s="19">
        <f t="shared" si="124"/>
        <v>0</v>
      </c>
      <c r="K112" s="19">
        <f>K111*K$2</f>
        <v>-6.0855794439888289</v>
      </c>
    </row>
    <row r="113" spans="1:11" x14ac:dyDescent="0.25">
      <c r="A113" s="56"/>
      <c r="D113" s="2"/>
      <c r="E113" s="2"/>
      <c r="F113" s="2"/>
      <c r="G113" s="2"/>
      <c r="H113" s="2"/>
      <c r="I113" s="2"/>
      <c r="J113" s="2"/>
      <c r="K113" s="2"/>
    </row>
    <row r="114" spans="1:11" x14ac:dyDescent="0.25">
      <c r="A114" s="56"/>
      <c r="B114" s="16" t="s">
        <v>78</v>
      </c>
      <c r="D114" s="2"/>
      <c r="E114" s="2"/>
      <c r="F114" s="2"/>
      <c r="G114" s="2"/>
      <c r="H114" s="2"/>
      <c r="I114" s="2"/>
      <c r="J114" s="2"/>
      <c r="K114" s="2"/>
    </row>
    <row r="115" spans="1:11" x14ac:dyDescent="0.25">
      <c r="A115" s="56">
        <v>114</v>
      </c>
      <c r="B115" s="1" t="s">
        <v>27</v>
      </c>
      <c r="C115" s="1" t="s">
        <v>10</v>
      </c>
      <c r="D115" s="2">
        <v>-1658186</v>
      </c>
      <c r="E115" s="2">
        <v>-1825510</v>
      </c>
      <c r="F115" s="2">
        <v>-1916300</v>
      </c>
      <c r="G115" s="2">
        <v>-841986.06</v>
      </c>
      <c r="H115" s="2">
        <v>-657358.31000000017</v>
      </c>
      <c r="I115" s="2">
        <v>-763334.76</v>
      </c>
      <c r="J115" s="2">
        <v>-897398.49</v>
      </c>
      <c r="K115" s="2">
        <v>-852419.78487063909</v>
      </c>
    </row>
    <row r="116" spans="1:11" x14ac:dyDescent="0.25">
      <c r="A116" s="56"/>
      <c r="B116" s="4"/>
      <c r="C116" s="4" t="s">
        <v>11</v>
      </c>
      <c r="D116" s="5">
        <v>556303</v>
      </c>
      <c r="E116" s="5">
        <v>604802</v>
      </c>
      <c r="F116" s="5">
        <v>217308</v>
      </c>
      <c r="G116" s="5">
        <v>48150</v>
      </c>
      <c r="H116" s="5">
        <v>394992.08000000007</v>
      </c>
      <c r="I116" s="5">
        <v>157834.08000000002</v>
      </c>
      <c r="J116" s="5">
        <v>498300.29000000004</v>
      </c>
      <c r="K116" s="5">
        <v>366949.44</v>
      </c>
    </row>
    <row r="117" spans="1:11" x14ac:dyDescent="0.25">
      <c r="A117" s="56"/>
      <c r="B117" s="16" t="s">
        <v>78</v>
      </c>
      <c r="C117" s="16" t="s">
        <v>54</v>
      </c>
      <c r="D117" s="17">
        <f>SUM(D115:D116)</f>
        <v>-1101883</v>
      </c>
      <c r="E117" s="17">
        <f t="shared" ref="E117:K117" si="125">SUM(E115:E116)</f>
        <v>-1220708</v>
      </c>
      <c r="F117" s="17">
        <f t="shared" si="125"/>
        <v>-1698992</v>
      </c>
      <c r="G117" s="17">
        <f t="shared" si="125"/>
        <v>-793836.06</v>
      </c>
      <c r="H117" s="17">
        <f t="shared" si="125"/>
        <v>-262366.2300000001</v>
      </c>
      <c r="I117" s="17">
        <f t="shared" si="125"/>
        <v>-605500.67999999993</v>
      </c>
      <c r="J117" s="17">
        <f t="shared" si="125"/>
        <v>-399098.19999999995</v>
      </c>
      <c r="K117" s="17">
        <f t="shared" si="125"/>
        <v>-485470.34487063909</v>
      </c>
    </row>
    <row r="118" spans="1:11" x14ac:dyDescent="0.25">
      <c r="A118" s="56"/>
      <c r="C118" s="22" t="s">
        <v>61</v>
      </c>
      <c r="D118" s="18">
        <f>-D117/D$13</f>
        <v>8.27174992196179E-3</v>
      </c>
      <c r="E118" s="18">
        <f t="shared" ref="E118:K118" si="126">-E117/E$13</f>
        <v>8.7793550794335127E-3</v>
      </c>
      <c r="F118" s="18">
        <f t="shared" si="126"/>
        <v>1.2016680334201934E-2</v>
      </c>
      <c r="G118" s="18">
        <f t="shared" si="126"/>
        <v>5.6845527961061461E-3</v>
      </c>
      <c r="H118" s="18">
        <f t="shared" si="126"/>
        <v>1.7925453329832642E-3</v>
      </c>
      <c r="I118" s="18">
        <f t="shared" si="126"/>
        <v>3.7878416860191969E-3</v>
      </c>
      <c r="J118" s="18">
        <f t="shared" si="126"/>
        <v>2.2926752800695865E-3</v>
      </c>
      <c r="K118" s="18">
        <f t="shared" si="126"/>
        <v>2.6666544101476165E-3</v>
      </c>
    </row>
    <row r="119" spans="1:11" x14ac:dyDescent="0.25">
      <c r="A119" s="56"/>
      <c r="C119" s="22" t="s">
        <v>62</v>
      </c>
      <c r="D119" s="19">
        <f t="shared" ref="D119" si="127">D118*D$2</f>
        <v>3.3831457180823721</v>
      </c>
      <c r="E119" s="19">
        <f t="shared" ref="E119" si="128">E118*E$2</f>
        <v>3.6873291333620752</v>
      </c>
      <c r="F119" s="19">
        <f t="shared" ref="F119" si="129">F118*F$2</f>
        <v>5.2512893060462451</v>
      </c>
      <c r="G119" s="19">
        <f t="shared" ref="G119" si="130">G118*G$2</f>
        <v>2.5836292458302434</v>
      </c>
      <c r="H119" s="19">
        <f t="shared" ref="H119" si="131">H118*H$2</f>
        <v>0.81471185384089362</v>
      </c>
      <c r="I119" s="19">
        <f t="shared" ref="I119" si="132">I118*I$2</f>
        <v>1.8825573179515409</v>
      </c>
      <c r="J119" s="19">
        <f t="shared" ref="J119" si="133">J118*J$2</f>
        <v>1.2242885995571593</v>
      </c>
      <c r="K119" s="19">
        <f>K118*K$2</f>
        <v>1.4986597785029605</v>
      </c>
    </row>
    <row r="120" spans="1:11" x14ac:dyDescent="0.25">
      <c r="A120" s="56"/>
    </row>
    <row r="121" spans="1:11" x14ac:dyDescent="0.25">
      <c r="A121" s="56"/>
      <c r="B121" s="16" t="s">
        <v>28</v>
      </c>
      <c r="D121" s="52"/>
      <c r="E121" s="52"/>
      <c r="F121" s="52"/>
      <c r="G121" s="52"/>
      <c r="H121" s="52"/>
      <c r="I121" s="52"/>
      <c r="J121" s="52"/>
      <c r="K121" s="52"/>
    </row>
    <row r="122" spans="1:11" x14ac:dyDescent="0.25">
      <c r="A122" s="56">
        <v>133</v>
      </c>
      <c r="B122" s="1" t="s">
        <v>30</v>
      </c>
      <c r="C122" s="1" t="s">
        <v>10</v>
      </c>
      <c r="D122" s="2">
        <v>-27768570</v>
      </c>
      <c r="E122" s="2">
        <v>-27363359</v>
      </c>
      <c r="F122" s="2">
        <v>-26626579</v>
      </c>
      <c r="G122" s="2">
        <v>-21673342.259999998</v>
      </c>
      <c r="H122" s="2">
        <v>-23596548.289999988</v>
      </c>
      <c r="I122" s="2">
        <v>-31432975.030000001</v>
      </c>
      <c r="J122" s="2">
        <v>-28697216.989999998</v>
      </c>
      <c r="K122" s="58">
        <v>-32361771.915982515</v>
      </c>
    </row>
    <row r="123" spans="1:11" x14ac:dyDescent="0.25">
      <c r="A123" s="56"/>
      <c r="B123" s="4"/>
      <c r="C123" s="4" t="s">
        <v>11</v>
      </c>
      <c r="D123" s="5">
        <v>324628</v>
      </c>
      <c r="E123" s="5">
        <v>331728</v>
      </c>
      <c r="F123" s="5">
        <v>405990</v>
      </c>
      <c r="G123" s="5">
        <v>84021</v>
      </c>
      <c r="H123" s="5">
        <v>87343.94</v>
      </c>
      <c r="I123" s="5">
        <v>248282.25</v>
      </c>
      <c r="J123" s="5">
        <v>367642.21</v>
      </c>
      <c r="K123" s="5">
        <v>384000</v>
      </c>
    </row>
    <row r="124" spans="1:11" x14ac:dyDescent="0.25">
      <c r="A124" s="56"/>
      <c r="B124" s="16" t="s">
        <v>28</v>
      </c>
      <c r="C124" s="16" t="s">
        <v>54</v>
      </c>
      <c r="D124" s="17">
        <f>SUM(D122:D123)</f>
        <v>-27443942</v>
      </c>
      <c r="E124" s="17">
        <f t="shared" ref="E124:I124" si="134">SUM(E122:E123)</f>
        <v>-27031631</v>
      </c>
      <c r="F124" s="17">
        <f t="shared" si="134"/>
        <v>-26220589</v>
      </c>
      <c r="G124" s="17">
        <f t="shared" si="134"/>
        <v>-21589321.259999998</v>
      </c>
      <c r="H124" s="17">
        <f t="shared" si="134"/>
        <v>-23509204.349999987</v>
      </c>
      <c r="I124" s="17">
        <f t="shared" si="134"/>
        <v>-31184692.780000001</v>
      </c>
      <c r="J124" s="17">
        <f>SUM(J122:J123)</f>
        <v>-28329574.779999997</v>
      </c>
      <c r="K124" s="17">
        <f>SUM(K122:K123)</f>
        <v>-31977771.915982515</v>
      </c>
    </row>
    <row r="125" spans="1:11" x14ac:dyDescent="0.25">
      <c r="A125" s="56"/>
      <c r="C125" s="22" t="s">
        <v>61</v>
      </c>
      <c r="D125" s="18">
        <f>-D124/D$13</f>
        <v>0.20601953664483788</v>
      </c>
      <c r="E125" s="18">
        <f t="shared" ref="E125:K125" si="135">-E124/E$13</f>
        <v>0.19441200264536843</v>
      </c>
      <c r="F125" s="18">
        <f t="shared" si="135"/>
        <v>0.18545374915684804</v>
      </c>
      <c r="G125" s="18">
        <f t="shared" si="135"/>
        <v>0.15459821330687201</v>
      </c>
      <c r="H125" s="18">
        <f t="shared" si="135"/>
        <v>0.16062019315421164</v>
      </c>
      <c r="I125" s="18">
        <f t="shared" si="135"/>
        <v>0.19508265337998612</v>
      </c>
      <c r="J125" s="18">
        <f t="shared" si="135"/>
        <v>0.16274319401337517</v>
      </c>
      <c r="K125" s="18">
        <f t="shared" si="135"/>
        <v>0.17565164877202091</v>
      </c>
    </row>
    <row r="126" spans="1:11" x14ac:dyDescent="0.25">
      <c r="A126" s="56"/>
      <c r="C126" s="22" t="s">
        <v>62</v>
      </c>
      <c r="D126" s="19">
        <f t="shared" ref="D126" si="136">D125*D$2</f>
        <v>84.2619904877387</v>
      </c>
      <c r="E126" s="19">
        <f t="shared" ref="E126" si="137">E125*E$2</f>
        <v>81.653041111054733</v>
      </c>
      <c r="F126" s="19">
        <f t="shared" ref="F126" si="138">F125*F$2</f>
        <v>81.043288381542595</v>
      </c>
      <c r="G126" s="19">
        <f t="shared" ref="G126" si="139">G125*G$2</f>
        <v>70.264887947973335</v>
      </c>
      <c r="H126" s="19">
        <f t="shared" ref="H126" si="140">H125*H$2</f>
        <v>73.001877788589184</v>
      </c>
      <c r="I126" s="19">
        <f t="shared" ref="I126" si="141">I125*I$2</f>
        <v>96.956078729853104</v>
      </c>
      <c r="J126" s="19">
        <f t="shared" ref="J126" si="142">J125*J$2</f>
        <v>86.904865603142341</v>
      </c>
      <c r="K126" s="19">
        <f>K125*K$2</f>
        <v>98.716226609875747</v>
      </c>
    </row>
    <row r="127" spans="1:11" x14ac:dyDescent="0.25">
      <c r="A127" s="56"/>
      <c r="D127" s="52"/>
      <c r="E127" s="52"/>
      <c r="F127" s="52"/>
      <c r="G127" s="52"/>
      <c r="H127" s="52"/>
      <c r="I127" s="52"/>
      <c r="J127" s="52"/>
      <c r="K127" s="52"/>
    </row>
    <row r="128" spans="1:11" x14ac:dyDescent="0.25">
      <c r="A128" s="56"/>
      <c r="B128" s="16" t="s">
        <v>0</v>
      </c>
      <c r="D128" s="52"/>
      <c r="E128" s="52"/>
      <c r="F128" s="52"/>
      <c r="G128" s="52"/>
      <c r="H128" s="52"/>
      <c r="I128" s="52"/>
      <c r="J128" s="52"/>
      <c r="K128" s="52"/>
    </row>
    <row r="129" spans="1:14" x14ac:dyDescent="0.25">
      <c r="A129" s="56">
        <v>132</v>
      </c>
      <c r="B129" s="1" t="s">
        <v>1</v>
      </c>
      <c r="C129" s="1" t="s">
        <v>10</v>
      </c>
      <c r="D129" s="2">
        <v>-7038935</v>
      </c>
      <c r="E129" s="2">
        <v>-6625131</v>
      </c>
      <c r="F129" s="2">
        <v>-6161725</v>
      </c>
      <c r="G129" s="2">
        <v>-6967406.1900000041</v>
      </c>
      <c r="H129" s="2">
        <v>-8460368.3999999948</v>
      </c>
      <c r="I129" s="2">
        <v>-9097909.4999999963</v>
      </c>
      <c r="J129" s="2">
        <v>-16371654.609999994</v>
      </c>
      <c r="K129" s="2">
        <v>-17701262.565420099</v>
      </c>
      <c r="N129" s="47"/>
    </row>
    <row r="130" spans="1:14" x14ac:dyDescent="0.25">
      <c r="A130" s="56" t="s">
        <v>90</v>
      </c>
      <c r="C130" s="9" t="s">
        <v>47</v>
      </c>
      <c r="D130" s="10">
        <v>-7273980</v>
      </c>
      <c r="E130" s="10">
        <v>-9112761</v>
      </c>
      <c r="F130" s="10">
        <v>-9931117</v>
      </c>
      <c r="G130" s="10">
        <v>-6574675.4999999991</v>
      </c>
      <c r="H130" s="10">
        <v>-8993262.370000001</v>
      </c>
      <c r="I130" s="10">
        <v>-12328211.02</v>
      </c>
      <c r="J130" s="10">
        <v>-13649726.939999999</v>
      </c>
      <c r="K130" s="60">
        <v>-15578665.247182362</v>
      </c>
    </row>
    <row r="131" spans="1:14" x14ac:dyDescent="0.25">
      <c r="A131" s="56"/>
      <c r="B131" s="16" t="s">
        <v>0</v>
      </c>
      <c r="C131" s="16" t="s">
        <v>54</v>
      </c>
      <c r="D131" s="17">
        <f>SUM(D129:D130)</f>
        <v>-14312915</v>
      </c>
      <c r="E131" s="17">
        <f t="shared" ref="E131:K131" si="143">SUM(E129:E130)</f>
        <v>-15737892</v>
      </c>
      <c r="F131" s="17">
        <f t="shared" si="143"/>
        <v>-16092842</v>
      </c>
      <c r="G131" s="17">
        <f t="shared" si="143"/>
        <v>-13542081.690000003</v>
      </c>
      <c r="H131" s="17">
        <f t="shared" si="143"/>
        <v>-17453630.769999996</v>
      </c>
      <c r="I131" s="17">
        <f t="shared" si="143"/>
        <v>-21426120.519999996</v>
      </c>
      <c r="J131" s="17">
        <f t="shared" si="143"/>
        <v>-30021381.549999993</v>
      </c>
      <c r="K131" s="17">
        <f t="shared" si="143"/>
        <v>-33279927.81260246</v>
      </c>
      <c r="N131" s="48"/>
    </row>
    <row r="132" spans="1:14" x14ac:dyDescent="0.25">
      <c r="A132" s="56"/>
      <c r="C132" s="22" t="s">
        <v>61</v>
      </c>
      <c r="D132" s="18">
        <f t="shared" ref="D132" si="144">-D131/D$13-D134</f>
        <v>5.2840737207983164E-2</v>
      </c>
      <c r="E132" s="18">
        <f t="shared" ref="E132" si="145">-E131/E$13-E134</f>
        <v>4.7648067758024382E-2</v>
      </c>
      <c r="F132" s="18">
        <f t="shared" ref="F132" si="146">-F131/F$13-F134</f>
        <v>4.3580828886928491E-2</v>
      </c>
      <c r="G132" s="18">
        <f t="shared" ref="G132" si="147">-G131/G$13-G134</f>
        <v>4.9892654585345732E-2</v>
      </c>
      <c r="H132" s="18">
        <f t="shared" ref="H132" si="148">-H131/H$13-H134</f>
        <v>5.7803147496303435E-2</v>
      </c>
      <c r="I132" s="18">
        <f t="shared" ref="I132" si="149">-I131/I$13-I134</f>
        <v>5.6913958973142803E-2</v>
      </c>
      <c r="J132" s="18">
        <f t="shared" ref="J132" si="150">-J131/J$13-J134</f>
        <v>9.4049253587674117E-2</v>
      </c>
      <c r="K132" s="18">
        <f>-K131/K$13-K134</f>
        <v>9.7231788478936654E-2</v>
      </c>
    </row>
    <row r="133" spans="1:14" x14ac:dyDescent="0.25">
      <c r="A133" s="56"/>
      <c r="C133" s="22" t="s">
        <v>62</v>
      </c>
      <c r="D133" s="19">
        <f t="shared" ref="D133" si="151">D132*D$2</f>
        <v>21.611861518065115</v>
      </c>
      <c r="E133" s="19">
        <f t="shared" ref="E133" si="152">E132*E$2</f>
        <v>20.01218845837024</v>
      </c>
      <c r="F133" s="19">
        <f t="shared" ref="F133" si="153">F132*F$2</f>
        <v>19.044822223587751</v>
      </c>
      <c r="G133" s="19">
        <f t="shared" ref="G133" si="154">G132*G$2</f>
        <v>22.676211509039636</v>
      </c>
      <c r="H133" s="19">
        <f t="shared" ref="H133" si="155">H132*H$2</f>
        <v>26.271530537069911</v>
      </c>
      <c r="I133" s="19">
        <f t="shared" ref="I133" si="156">I132*I$2</f>
        <v>28.286237609651973</v>
      </c>
      <c r="J133" s="19">
        <f t="shared" ref="J133" si="157">J132*J$2</f>
        <v>50.222301415817981</v>
      </c>
      <c r="K133" s="19">
        <f>K132*K$2</f>
        <v>54.644265125162399</v>
      </c>
    </row>
    <row r="134" spans="1:14" x14ac:dyDescent="0.25">
      <c r="A134" s="56"/>
      <c r="C134" s="23" t="s">
        <v>61</v>
      </c>
      <c r="D134" s="24">
        <f>-D130/D$13</f>
        <v>5.4605201729540816E-2</v>
      </c>
      <c r="E134" s="24">
        <f t="shared" ref="E134:K134" si="158">-E130/E$13</f>
        <v>6.5539149881063782E-2</v>
      </c>
      <c r="F134" s="24">
        <f t="shared" si="158"/>
        <v>7.0241094926025843E-2</v>
      </c>
      <c r="G134" s="24">
        <f t="shared" si="158"/>
        <v>4.7080363163416343E-2</v>
      </c>
      <c r="H134" s="24">
        <f t="shared" si="158"/>
        <v>6.1443999441686929E-2</v>
      </c>
      <c r="I134" s="24">
        <f t="shared" si="158"/>
        <v>7.7121815314224323E-2</v>
      </c>
      <c r="J134" s="24">
        <f t="shared" si="158"/>
        <v>7.8412760405929885E-2</v>
      </c>
      <c r="K134" s="24">
        <f t="shared" si="158"/>
        <v>8.5572510915536942E-2</v>
      </c>
    </row>
    <row r="135" spans="1:14" x14ac:dyDescent="0.25">
      <c r="A135" s="56"/>
      <c r="C135" s="25" t="s">
        <v>62</v>
      </c>
      <c r="D135" s="26">
        <f t="shared" ref="D135" si="159">D134*D$2</f>
        <v>22.333527507382193</v>
      </c>
      <c r="E135" s="26">
        <f t="shared" ref="E135" si="160">E134*E$2</f>
        <v>27.526442950046789</v>
      </c>
      <c r="F135" s="26">
        <f t="shared" ref="F135" si="161">F134*F$2</f>
        <v>30.695358482673292</v>
      </c>
      <c r="G135" s="26">
        <f t="shared" ref="G135" si="162">G134*G$2</f>
        <v>21.398025057772728</v>
      </c>
      <c r="H135" s="26">
        <f t="shared" ref="H135" si="163">H134*H$2</f>
        <v>27.926297746246711</v>
      </c>
      <c r="I135" s="26">
        <f t="shared" ref="I135" si="164">I134*I$2</f>
        <v>38.329542211169489</v>
      </c>
      <c r="J135" s="26">
        <f t="shared" ref="J135" si="165">J134*J$2</f>
        <v>41.872414056766559</v>
      </c>
      <c r="K135" s="26">
        <f>K134*K$2</f>
        <v>48.091751134531762</v>
      </c>
    </row>
    <row r="136" spans="1:14" x14ac:dyDescent="0.25">
      <c r="A136" s="56"/>
      <c r="D136" s="52"/>
      <c r="E136" s="52"/>
      <c r="F136" s="52"/>
      <c r="G136" s="52"/>
      <c r="H136" s="52"/>
      <c r="I136" s="52"/>
      <c r="J136" s="52"/>
      <c r="K136" s="52"/>
    </row>
    <row r="137" spans="1:14" x14ac:dyDescent="0.25">
      <c r="A137" s="56"/>
      <c r="B137" s="16" t="s">
        <v>31</v>
      </c>
      <c r="D137" s="52"/>
      <c r="E137" s="52"/>
      <c r="F137" s="52"/>
      <c r="G137" s="52"/>
      <c r="H137" s="52"/>
      <c r="I137" s="52"/>
      <c r="J137" s="52"/>
      <c r="K137" s="52"/>
    </row>
    <row r="138" spans="1:14" x14ac:dyDescent="0.25">
      <c r="A138" s="56">
        <v>119</v>
      </c>
      <c r="B138" s="1" t="s">
        <v>32</v>
      </c>
      <c r="C138" s="1" t="s">
        <v>10</v>
      </c>
      <c r="D138" s="2">
        <v>-841617</v>
      </c>
      <c r="E138" s="2">
        <v>-911085</v>
      </c>
      <c r="F138" s="2">
        <v>-1254247</v>
      </c>
      <c r="G138" s="2">
        <v>-1093111.5</v>
      </c>
      <c r="H138" s="2">
        <v>-916383.60999999987</v>
      </c>
      <c r="I138" s="2">
        <v>-972163.8899999999</v>
      </c>
      <c r="J138" s="2">
        <v>-1164548.1000000001</v>
      </c>
      <c r="K138" s="2">
        <v>-724359.56623132783</v>
      </c>
    </row>
    <row r="139" spans="1:14" x14ac:dyDescent="0.25">
      <c r="A139" s="56"/>
      <c r="B139" s="4"/>
      <c r="C139" s="4" t="s">
        <v>11</v>
      </c>
      <c r="D139" s="5">
        <v>5946</v>
      </c>
      <c r="E139" s="5">
        <v>7956</v>
      </c>
      <c r="F139" s="5">
        <v>32509</v>
      </c>
      <c r="G139" s="5">
        <v>3894.51</v>
      </c>
      <c r="H139" s="5">
        <v>0</v>
      </c>
      <c r="I139" s="5">
        <v>75000</v>
      </c>
      <c r="J139" s="5">
        <v>1797</v>
      </c>
      <c r="K139" s="5">
        <v>0</v>
      </c>
    </row>
    <row r="140" spans="1:14" x14ac:dyDescent="0.25">
      <c r="A140" s="56"/>
      <c r="B140" s="21" t="s">
        <v>32</v>
      </c>
      <c r="C140" s="21" t="s">
        <v>54</v>
      </c>
      <c r="D140" s="29">
        <f>SUM(D138:D139)</f>
        <v>-835671</v>
      </c>
      <c r="E140" s="29">
        <f t="shared" ref="E140:K140" si="166">SUM(E138:E139)</f>
        <v>-903129</v>
      </c>
      <c r="F140" s="29">
        <f t="shared" si="166"/>
        <v>-1221738</v>
      </c>
      <c r="G140" s="29">
        <f t="shared" si="166"/>
        <v>-1089216.99</v>
      </c>
      <c r="H140" s="29">
        <f t="shared" si="166"/>
        <v>-916383.60999999987</v>
      </c>
      <c r="I140" s="29">
        <f t="shared" si="166"/>
        <v>-897163.8899999999</v>
      </c>
      <c r="J140" s="29">
        <f t="shared" si="166"/>
        <v>-1162751.1000000001</v>
      </c>
      <c r="K140" s="29">
        <f t="shared" si="166"/>
        <v>-724359.56623132783</v>
      </c>
    </row>
    <row r="141" spans="1:14" x14ac:dyDescent="0.25">
      <c r="A141" s="56">
        <v>122</v>
      </c>
      <c r="B141" s="1" t="s">
        <v>33</v>
      </c>
      <c r="C141" s="1" t="s">
        <v>10</v>
      </c>
      <c r="D141" s="2">
        <v>-3243242</v>
      </c>
      <c r="E141" s="2">
        <v>-3357839</v>
      </c>
      <c r="F141" s="2">
        <v>-2923860</v>
      </c>
      <c r="G141" s="2">
        <v>-2154532.6300000004</v>
      </c>
      <c r="H141" s="2">
        <v>-2527069.9099999988</v>
      </c>
      <c r="I141" s="2">
        <v>-3828516.399999998</v>
      </c>
      <c r="J141" s="2">
        <v>-4618927.8099999996</v>
      </c>
      <c r="K141" s="2">
        <v>-5795824.7113334537</v>
      </c>
    </row>
    <row r="142" spans="1:14" x14ac:dyDescent="0.25">
      <c r="A142" s="56"/>
      <c r="B142" s="4"/>
      <c r="C142" s="4" t="s">
        <v>11</v>
      </c>
      <c r="D142" s="5">
        <v>1743357</v>
      </c>
      <c r="E142" s="5">
        <v>1543528</v>
      </c>
      <c r="F142" s="5">
        <v>1520483</v>
      </c>
      <c r="G142" s="5">
        <v>534022.85999999987</v>
      </c>
      <c r="H142" s="5">
        <v>-1042806.8900000001</v>
      </c>
      <c r="I142" s="5">
        <v>2044037.57</v>
      </c>
      <c r="J142" s="5">
        <v>2337034.3199999998</v>
      </c>
      <c r="K142" s="59">
        <v>2473400.0036000004</v>
      </c>
    </row>
    <row r="143" spans="1:14" x14ac:dyDescent="0.25">
      <c r="A143" s="56"/>
      <c r="B143" s="21" t="s">
        <v>33</v>
      </c>
      <c r="C143" s="21" t="s">
        <v>54</v>
      </c>
      <c r="D143" s="29">
        <f>SUM(D141:D142)</f>
        <v>-1499885</v>
      </c>
      <c r="E143" s="29">
        <f t="shared" ref="E143" si="167">SUM(E141:E142)</f>
        <v>-1814311</v>
      </c>
      <c r="F143" s="29">
        <f t="shared" ref="F143" si="168">SUM(F141:F142)</f>
        <v>-1403377</v>
      </c>
      <c r="G143" s="29">
        <f t="shared" ref="G143" si="169">SUM(G141:G142)</f>
        <v>-1620509.7700000005</v>
      </c>
      <c r="H143" s="29">
        <f t="shared" ref="H143" si="170">SUM(H141:H142)</f>
        <v>-3569876.7999999989</v>
      </c>
      <c r="I143" s="29">
        <f t="shared" ref="I143" si="171">SUM(I141:I142)</f>
        <v>-1784478.829999998</v>
      </c>
      <c r="J143" s="29">
        <f t="shared" ref="J143" si="172">SUM(J141:J142)</f>
        <v>-2281893.4899999998</v>
      </c>
      <c r="K143" s="29">
        <f t="shared" ref="K143" si="173">SUM(K141:K142)</f>
        <v>-3322424.7077334533</v>
      </c>
    </row>
    <row r="144" spans="1:14" x14ac:dyDescent="0.25">
      <c r="A144" s="56">
        <v>120</v>
      </c>
      <c r="B144" s="1" t="s">
        <v>35</v>
      </c>
      <c r="C144" s="1" t="s">
        <v>10</v>
      </c>
      <c r="D144" s="2">
        <v>-5009109</v>
      </c>
      <c r="E144" s="2">
        <v>-5170132</v>
      </c>
      <c r="F144" s="2">
        <v>-5299209</v>
      </c>
      <c r="G144" s="2">
        <v>-3870720.83</v>
      </c>
      <c r="H144" s="2">
        <v>-4509541.910000002</v>
      </c>
      <c r="I144" s="2">
        <v>-5493222.6300000018</v>
      </c>
      <c r="J144" s="2">
        <v>-7244348.120000002</v>
      </c>
      <c r="K144" s="2">
        <v>-8241126.1836123327</v>
      </c>
    </row>
    <row r="145" spans="1:11" x14ac:dyDescent="0.25">
      <c r="A145" s="56"/>
      <c r="B145" s="4"/>
      <c r="C145" s="4" t="s">
        <v>11</v>
      </c>
      <c r="D145" s="5">
        <v>9176719</v>
      </c>
      <c r="E145" s="5">
        <v>9545572</v>
      </c>
      <c r="F145" s="5">
        <v>9667049</v>
      </c>
      <c r="G145" s="5">
        <v>5305267.6900000004</v>
      </c>
      <c r="H145" s="5">
        <v>-5604634.2899999972</v>
      </c>
      <c r="I145" s="5">
        <v>10309644.409999998</v>
      </c>
      <c r="J145" s="5">
        <v>14257937.57</v>
      </c>
      <c r="K145" s="59">
        <v>15543075.18183</v>
      </c>
    </row>
    <row r="146" spans="1:11" x14ac:dyDescent="0.25">
      <c r="A146" s="56"/>
      <c r="B146" s="21" t="s">
        <v>35</v>
      </c>
      <c r="C146" s="21" t="s">
        <v>54</v>
      </c>
      <c r="D146" s="29">
        <f>SUM(D144:D145)</f>
        <v>4167610</v>
      </c>
      <c r="E146" s="29">
        <f t="shared" ref="E146" si="174">SUM(E144:E145)</f>
        <v>4375440</v>
      </c>
      <c r="F146" s="29">
        <f t="shared" ref="F146" si="175">SUM(F144:F145)</f>
        <v>4367840</v>
      </c>
      <c r="G146" s="29">
        <f t="shared" ref="G146" si="176">SUM(G144:G145)</f>
        <v>1434546.8600000003</v>
      </c>
      <c r="H146" s="29">
        <f t="shared" ref="H146" si="177">SUM(H144:H145)</f>
        <v>-10114176.199999999</v>
      </c>
      <c r="I146" s="29">
        <f t="shared" ref="I146" si="178">SUM(I144:I145)</f>
        <v>4816421.7799999965</v>
      </c>
      <c r="J146" s="29">
        <f t="shared" ref="J146" si="179">SUM(J144:J145)</f>
        <v>7013589.4499999983</v>
      </c>
      <c r="K146" s="29">
        <f t="shared" ref="K146" si="180">SUM(K144:K145)</f>
        <v>7301948.9982176675</v>
      </c>
    </row>
    <row r="147" spans="1:11" x14ac:dyDescent="0.25">
      <c r="A147" s="56"/>
      <c r="B147" s="16" t="s">
        <v>31</v>
      </c>
      <c r="C147" s="16" t="s">
        <v>54</v>
      </c>
      <c r="D147" s="17">
        <f t="shared" ref="D147:K147" si="181">SUM(D146,D143,D140)</f>
        <v>1832054</v>
      </c>
      <c r="E147" s="17">
        <f t="shared" si="181"/>
        <v>1658000</v>
      </c>
      <c r="F147" s="17">
        <f t="shared" si="181"/>
        <v>1742725</v>
      </c>
      <c r="G147" s="17">
        <f t="shared" si="181"/>
        <v>-1275179.9000000001</v>
      </c>
      <c r="H147" s="17">
        <f t="shared" si="181"/>
        <v>-14600436.609999998</v>
      </c>
      <c r="I147" s="17">
        <f t="shared" si="181"/>
        <v>2134779.0599999987</v>
      </c>
      <c r="J147" s="17">
        <f t="shared" si="181"/>
        <v>3568944.8599999989</v>
      </c>
      <c r="K147" s="17">
        <f t="shared" si="181"/>
        <v>3255164.7242528861</v>
      </c>
    </row>
    <row r="148" spans="1:11" x14ac:dyDescent="0.25">
      <c r="A148" s="56"/>
      <c r="C148" s="22" t="s">
        <v>61</v>
      </c>
      <c r="D148" s="18">
        <f>-D147/D$13</f>
        <v>-1.3753086790094579E-2</v>
      </c>
      <c r="E148" s="18">
        <f t="shared" ref="E148:K148" si="182">-E147/E$13</f>
        <v>-1.192436743406348E-2</v>
      </c>
      <c r="F148" s="18">
        <f t="shared" si="182"/>
        <v>-1.2325996376334946E-2</v>
      </c>
      <c r="G148" s="18">
        <f t="shared" si="182"/>
        <v>9.1313910155244853E-3</v>
      </c>
      <c r="H148" s="18">
        <f t="shared" si="182"/>
        <v>9.9753480105932366E-2</v>
      </c>
      <c r="I148" s="18">
        <f t="shared" si="182"/>
        <v>-1.3354576437319396E-2</v>
      </c>
      <c r="J148" s="18">
        <f t="shared" si="182"/>
        <v>-2.0502301580045741E-2</v>
      </c>
      <c r="K148" s="18">
        <f t="shared" si="182"/>
        <v>-1.7880390551968588E-2</v>
      </c>
    </row>
    <row r="149" spans="1:11" x14ac:dyDescent="0.25">
      <c r="A149" s="56"/>
      <c r="C149" s="22" t="s">
        <v>62</v>
      </c>
      <c r="D149" s="19">
        <f t="shared" ref="D149" si="183">D148*D$2</f>
        <v>-5.625012497148683</v>
      </c>
      <c r="E149" s="19">
        <f t="shared" ref="E149" si="184">E148*E$2</f>
        <v>-5.0082343223066612</v>
      </c>
      <c r="F149" s="19">
        <f t="shared" ref="F149" si="185">F148*F$2</f>
        <v>-5.3864604164583714</v>
      </c>
      <c r="G149" s="19">
        <f t="shared" ref="G149" si="186">G148*G$2</f>
        <v>4.1502172165558786</v>
      </c>
      <c r="H149" s="19">
        <f t="shared" ref="H149" si="187">H148*H$2</f>
        <v>45.337956708146258</v>
      </c>
      <c r="I149" s="19">
        <f t="shared" ref="I149" si="188">I148*I$2</f>
        <v>-6.6372244893477399</v>
      </c>
      <c r="J149" s="19">
        <f t="shared" ref="J149" si="189">J148*J$2</f>
        <v>-10.948229043744426</v>
      </c>
      <c r="K149" s="19">
        <f>K148*K$2</f>
        <v>-10.048779490206346</v>
      </c>
    </row>
    <row r="150" spans="1:11" x14ac:dyDescent="0.25">
      <c r="A150" s="56"/>
    </row>
    <row r="151" spans="1:11" x14ac:dyDescent="0.25">
      <c r="A151" s="56"/>
      <c r="B151" s="16" t="s">
        <v>80</v>
      </c>
    </row>
    <row r="152" spans="1:11" x14ac:dyDescent="0.25">
      <c r="A152" s="56">
        <v>136</v>
      </c>
      <c r="B152" s="1" t="s">
        <v>81</v>
      </c>
      <c r="C152" s="1" t="s">
        <v>10</v>
      </c>
      <c r="D152" s="2">
        <v>0</v>
      </c>
      <c r="E152" s="2">
        <v>0</v>
      </c>
      <c r="F152" s="2">
        <v>0</v>
      </c>
      <c r="G152" s="2">
        <v>0</v>
      </c>
      <c r="H152" s="2">
        <v>0</v>
      </c>
      <c r="I152" s="2">
        <v>0</v>
      </c>
      <c r="J152" s="2">
        <v>0</v>
      </c>
      <c r="K152" s="2">
        <v>-175679.18947833742</v>
      </c>
    </row>
    <row r="153" spans="1:11" x14ac:dyDescent="0.25">
      <c r="A153" s="56"/>
      <c r="B153" s="16" t="s">
        <v>80</v>
      </c>
      <c r="C153" s="16" t="s">
        <v>54</v>
      </c>
      <c r="D153" s="17">
        <f t="shared" ref="D153:K153" si="190">SUM(D152:D152)</f>
        <v>0</v>
      </c>
      <c r="E153" s="17">
        <f t="shared" si="190"/>
        <v>0</v>
      </c>
      <c r="F153" s="17">
        <f t="shared" si="190"/>
        <v>0</v>
      </c>
      <c r="G153" s="17">
        <f t="shared" si="190"/>
        <v>0</v>
      </c>
      <c r="H153" s="17">
        <f t="shared" si="190"/>
        <v>0</v>
      </c>
      <c r="I153" s="17">
        <f t="shared" si="190"/>
        <v>0</v>
      </c>
      <c r="J153" s="17">
        <f t="shared" si="190"/>
        <v>0</v>
      </c>
      <c r="K153" s="17">
        <f t="shared" si="190"/>
        <v>-175679.18947833742</v>
      </c>
    </row>
    <row r="154" spans="1:11" x14ac:dyDescent="0.25">
      <c r="A154" s="56"/>
      <c r="C154" s="22" t="s">
        <v>61</v>
      </c>
      <c r="D154" s="18">
        <f>-D153/D$13</f>
        <v>0</v>
      </c>
      <c r="E154" s="18">
        <f t="shared" ref="E154:J154" si="191">-E153/E$13</f>
        <v>0</v>
      </c>
      <c r="F154" s="18">
        <f t="shared" si="191"/>
        <v>0</v>
      </c>
      <c r="G154" s="18">
        <f t="shared" si="191"/>
        <v>0</v>
      </c>
      <c r="H154" s="18">
        <f t="shared" si="191"/>
        <v>0</v>
      </c>
      <c r="I154" s="18">
        <f t="shared" si="191"/>
        <v>0</v>
      </c>
      <c r="J154" s="18">
        <f t="shared" si="191"/>
        <v>0</v>
      </c>
      <c r="K154" s="18">
        <f>-K153/K$13</f>
        <v>9.6499341379626313E-4</v>
      </c>
    </row>
    <row r="155" spans="1:11" x14ac:dyDescent="0.25">
      <c r="A155" s="56"/>
      <c r="C155" s="22" t="s">
        <v>62</v>
      </c>
      <c r="D155" s="19">
        <f t="shared" ref="D155:J155" si="192">D154*D$2</f>
        <v>0</v>
      </c>
      <c r="E155" s="19">
        <f t="shared" si="192"/>
        <v>0</v>
      </c>
      <c r="F155" s="19">
        <f t="shared" si="192"/>
        <v>0</v>
      </c>
      <c r="G155" s="19">
        <f t="shared" si="192"/>
        <v>0</v>
      </c>
      <c r="H155" s="19">
        <f t="shared" si="192"/>
        <v>0</v>
      </c>
      <c r="I155" s="19">
        <f t="shared" si="192"/>
        <v>0</v>
      </c>
      <c r="J155" s="19">
        <f t="shared" si="192"/>
        <v>0</v>
      </c>
      <c r="K155" s="19">
        <f>K154*K$2</f>
        <v>0.5423262985534999</v>
      </c>
    </row>
    <row r="156" spans="1:11" x14ac:dyDescent="0.25">
      <c r="A156" s="56"/>
      <c r="D156" s="52"/>
      <c r="E156" s="52"/>
      <c r="F156" s="52"/>
      <c r="G156" s="52"/>
      <c r="H156" s="52"/>
      <c r="I156" s="52"/>
      <c r="J156" s="52"/>
      <c r="K156" s="52"/>
    </row>
    <row r="157" spans="1:11" x14ac:dyDescent="0.25">
      <c r="A157" s="56"/>
      <c r="B157" s="16" t="s">
        <v>36</v>
      </c>
      <c r="D157" s="52"/>
      <c r="E157" s="52"/>
      <c r="F157" s="52"/>
      <c r="G157" s="52"/>
      <c r="H157" s="52"/>
      <c r="I157" s="52"/>
      <c r="J157" s="52"/>
      <c r="K157" s="52"/>
    </row>
    <row r="158" spans="1:11" x14ac:dyDescent="0.25">
      <c r="A158" s="56">
        <v>129</v>
      </c>
      <c r="B158" s="1" t="s">
        <v>37</v>
      </c>
      <c r="C158" s="1" t="s">
        <v>10</v>
      </c>
      <c r="D158" s="2">
        <v>-8200813</v>
      </c>
      <c r="E158" s="2">
        <v>-9400315</v>
      </c>
      <c r="F158" s="2">
        <v>-8571169</v>
      </c>
      <c r="G158" s="2">
        <v>-3271688.9800000014</v>
      </c>
      <c r="H158" s="2">
        <v>-3215005.6600000015</v>
      </c>
      <c r="I158" s="2">
        <v>-11393672.110000007</v>
      </c>
      <c r="J158" s="2">
        <v>-12521573.780000007</v>
      </c>
      <c r="K158" s="2">
        <v>-13371623.070426062</v>
      </c>
    </row>
    <row r="159" spans="1:11" x14ac:dyDescent="0.25">
      <c r="A159" s="56"/>
      <c r="B159" s="4"/>
      <c r="C159" s="4" t="s">
        <v>11</v>
      </c>
      <c r="D159" s="5">
        <v>5547111</v>
      </c>
      <c r="E159" s="5">
        <v>5437983</v>
      </c>
      <c r="F159" s="5">
        <v>5425125</v>
      </c>
      <c r="G159" s="5">
        <v>893553.34</v>
      </c>
      <c r="H159" s="5">
        <v>-314698.17</v>
      </c>
      <c r="I159" s="5">
        <v>7000559.5</v>
      </c>
      <c r="J159" s="5">
        <v>7521477.8000000007</v>
      </c>
      <c r="K159" s="5">
        <v>9411958.8999999985</v>
      </c>
    </row>
    <row r="160" spans="1:11" x14ac:dyDescent="0.25">
      <c r="A160" s="56"/>
      <c r="B160" s="21" t="s">
        <v>37</v>
      </c>
      <c r="C160" s="21" t="s">
        <v>54</v>
      </c>
      <c r="D160" s="29">
        <f>SUM(D158:D159)</f>
        <v>-2653702</v>
      </c>
      <c r="E160" s="29">
        <f t="shared" ref="E160:J160" si="193">SUM(E158:E159)</f>
        <v>-3962332</v>
      </c>
      <c r="F160" s="29">
        <f t="shared" si="193"/>
        <v>-3146044</v>
      </c>
      <c r="G160" s="29">
        <f t="shared" si="193"/>
        <v>-2378135.6400000015</v>
      </c>
      <c r="H160" s="29">
        <f t="shared" si="193"/>
        <v>-3529703.8300000015</v>
      </c>
      <c r="I160" s="29">
        <f t="shared" si="193"/>
        <v>-4393112.6100000069</v>
      </c>
      <c r="J160" s="29">
        <f t="shared" si="193"/>
        <v>-5000095.980000006</v>
      </c>
      <c r="K160" s="29">
        <f>SUM(K158:K159)</f>
        <v>-3959664.1704260632</v>
      </c>
    </row>
    <row r="161" spans="1:11" x14ac:dyDescent="0.25">
      <c r="A161" s="56">
        <v>130</v>
      </c>
      <c r="B161" s="1" t="s">
        <v>38</v>
      </c>
      <c r="C161" s="1" t="s">
        <v>10</v>
      </c>
      <c r="D161" s="2">
        <v>-366457</v>
      </c>
      <c r="E161" s="2">
        <v>-328708</v>
      </c>
      <c r="F161" s="2">
        <v>-353188</v>
      </c>
      <c r="G161" s="2">
        <v>-106219.21999999999</v>
      </c>
      <c r="H161" s="2">
        <v>-48995.01</v>
      </c>
      <c r="I161" s="2">
        <v>-428021.43000000011</v>
      </c>
      <c r="J161" s="2">
        <v>-495210.48</v>
      </c>
      <c r="K161" s="2">
        <v>-737436.61161999998</v>
      </c>
    </row>
    <row r="162" spans="1:11" x14ac:dyDescent="0.25">
      <c r="A162" s="56"/>
      <c r="B162" s="4"/>
      <c r="C162" s="4" t="s">
        <v>11</v>
      </c>
      <c r="D162" s="5">
        <v>137587</v>
      </c>
      <c r="E162" s="5">
        <v>77402</v>
      </c>
      <c r="F162" s="5">
        <v>104665</v>
      </c>
      <c r="G162" s="5">
        <v>19301.080000000002</v>
      </c>
      <c r="H162" s="5">
        <v>-11868.119999999999</v>
      </c>
      <c r="I162" s="5">
        <v>52540.56</v>
      </c>
      <c r="J162" s="5">
        <v>83170.62</v>
      </c>
      <c r="K162" s="5">
        <v>90489.173500000004</v>
      </c>
    </row>
    <row r="163" spans="1:11" x14ac:dyDescent="0.25">
      <c r="A163" s="56"/>
      <c r="B163" s="21" t="s">
        <v>38</v>
      </c>
      <c r="C163" s="21" t="s">
        <v>54</v>
      </c>
      <c r="D163" s="29">
        <f>SUM(D161:D162)</f>
        <v>-228870</v>
      </c>
      <c r="E163" s="29">
        <f t="shared" ref="E163:K163" si="194">SUM(E161:E162)</f>
        <v>-251306</v>
      </c>
      <c r="F163" s="29">
        <f t="shared" si="194"/>
        <v>-248523</v>
      </c>
      <c r="G163" s="29">
        <f t="shared" si="194"/>
        <v>-86918.139999999985</v>
      </c>
      <c r="H163" s="29">
        <f t="shared" si="194"/>
        <v>-60863.130000000005</v>
      </c>
      <c r="I163" s="29">
        <f t="shared" si="194"/>
        <v>-375480.87000000011</v>
      </c>
      <c r="J163" s="29">
        <f t="shared" si="194"/>
        <v>-412039.86</v>
      </c>
      <c r="K163" s="29">
        <f t="shared" si="194"/>
        <v>-646947.43811999995</v>
      </c>
    </row>
    <row r="164" spans="1:11" x14ac:dyDescent="0.25">
      <c r="A164" s="56"/>
      <c r="B164" s="16" t="s">
        <v>36</v>
      </c>
      <c r="C164" s="16" t="s">
        <v>54</v>
      </c>
      <c r="D164" s="17">
        <f>SUM(D163,D160)</f>
        <v>-2882572</v>
      </c>
      <c r="E164" s="17">
        <f t="shared" ref="E164:K164" si="195">SUM(E163,E160)</f>
        <v>-4213638</v>
      </c>
      <c r="F164" s="17">
        <f t="shared" si="195"/>
        <v>-3394567</v>
      </c>
      <c r="G164" s="17">
        <f t="shared" si="195"/>
        <v>-2465053.7800000017</v>
      </c>
      <c r="H164" s="17">
        <f t="shared" si="195"/>
        <v>-3590566.9600000014</v>
      </c>
      <c r="I164" s="17">
        <f t="shared" si="195"/>
        <v>-4768593.480000007</v>
      </c>
      <c r="J164" s="17">
        <f t="shared" si="195"/>
        <v>-5412135.8400000064</v>
      </c>
      <c r="K164" s="17">
        <f t="shared" si="195"/>
        <v>-4606611.6085460633</v>
      </c>
    </row>
    <row r="165" spans="1:11" x14ac:dyDescent="0.25">
      <c r="A165" s="56"/>
      <c r="C165" s="22" t="s">
        <v>61</v>
      </c>
      <c r="D165" s="18">
        <f>-D164/D$13</f>
        <v>2.1639243654770282E-2</v>
      </c>
      <c r="E165" s="18">
        <f t="shared" ref="E165:K165" si="196">-E164/E$13</f>
        <v>3.0304564382468261E-2</v>
      </c>
      <c r="F165" s="18">
        <f t="shared" si="196"/>
        <v>2.400919281081421E-2</v>
      </c>
      <c r="G165" s="18">
        <f t="shared" si="196"/>
        <v>1.7651917144770463E-2</v>
      </c>
      <c r="H165" s="18">
        <f t="shared" si="196"/>
        <v>2.453156432103288E-2</v>
      </c>
      <c r="I165" s="18">
        <f t="shared" si="196"/>
        <v>2.9830977509758334E-2</v>
      </c>
      <c r="J165" s="18">
        <f t="shared" si="196"/>
        <v>3.1090769271188555E-2</v>
      </c>
      <c r="K165" s="18">
        <f t="shared" si="196"/>
        <v>2.5303793097887134E-2</v>
      </c>
    </row>
    <row r="166" spans="1:11" x14ac:dyDescent="0.25">
      <c r="A166" s="56"/>
      <c r="C166" s="22" t="s">
        <v>62</v>
      </c>
      <c r="D166" s="19">
        <f t="shared" ref="D166" si="197">D165*D$2</f>
        <v>8.8504506548010458</v>
      </c>
      <c r="E166" s="19">
        <f t="shared" ref="E166" si="198">E165*E$2</f>
        <v>12.727917040636669</v>
      </c>
      <c r="F166" s="19">
        <f t="shared" ref="F166" si="199">F165*F$2</f>
        <v>10.492017258325809</v>
      </c>
      <c r="G166" s="19">
        <f t="shared" ref="G166" si="200">G165*G$2</f>
        <v>8.0227963422981752</v>
      </c>
      <c r="H166" s="19">
        <f t="shared" ref="H166" si="201">H165*H$2</f>
        <v>11.149595983909444</v>
      </c>
      <c r="I166" s="19">
        <f t="shared" ref="I166" si="202">I165*I$2</f>
        <v>14.825995822349892</v>
      </c>
      <c r="J166" s="19">
        <f t="shared" ref="J166" si="203">J165*J$2</f>
        <v>16.602470790814689</v>
      </c>
      <c r="K166" s="19">
        <f>K165*K$2</f>
        <v>14.220731721012569</v>
      </c>
    </row>
    <row r="167" spans="1:11" x14ac:dyDescent="0.25">
      <c r="A167" s="56"/>
      <c r="D167" s="52"/>
      <c r="E167" s="52"/>
      <c r="F167" s="52"/>
      <c r="G167" s="52"/>
      <c r="H167" s="52"/>
      <c r="I167" s="52"/>
      <c r="J167" s="52"/>
      <c r="K167" s="52"/>
    </row>
    <row r="168" spans="1:11" x14ac:dyDescent="0.25">
      <c r="A168" s="56"/>
      <c r="B168" s="16" t="s">
        <v>40</v>
      </c>
      <c r="D168" s="52"/>
      <c r="E168" s="52"/>
      <c r="F168" s="52"/>
      <c r="G168" s="52"/>
      <c r="H168" s="52"/>
      <c r="I168" s="52"/>
      <c r="J168" s="52"/>
      <c r="K168" s="52"/>
    </row>
    <row r="169" spans="1:11" x14ac:dyDescent="0.25">
      <c r="A169" s="56">
        <v>117</v>
      </c>
      <c r="B169" s="1" t="s">
        <v>41</v>
      </c>
      <c r="C169" s="1" t="s">
        <v>10</v>
      </c>
      <c r="D169" s="2">
        <v>-650151</v>
      </c>
      <c r="E169" s="2">
        <v>-697872</v>
      </c>
      <c r="F169" s="2">
        <v>-724494</v>
      </c>
      <c r="G169" s="2">
        <v>-586024.4600000002</v>
      </c>
      <c r="H169" s="2">
        <v>-714585.83000000019</v>
      </c>
      <c r="I169" s="2">
        <v>-780633.05000000028</v>
      </c>
      <c r="J169" s="2">
        <v>-785902.78999999992</v>
      </c>
      <c r="K169" s="2">
        <v>-810020.20876086364</v>
      </c>
    </row>
    <row r="170" spans="1:11" x14ac:dyDescent="0.25">
      <c r="A170" s="56"/>
      <c r="C170" s="6" t="s">
        <v>11</v>
      </c>
      <c r="D170" s="2">
        <v>270</v>
      </c>
      <c r="E170" s="2">
        <v>2654</v>
      </c>
      <c r="F170" s="2">
        <v>0</v>
      </c>
      <c r="G170" s="2">
        <v>0</v>
      </c>
      <c r="H170" s="2">
        <v>0</v>
      </c>
      <c r="I170" s="2">
        <v>240</v>
      </c>
      <c r="J170" s="2">
        <v>0</v>
      </c>
      <c r="K170" s="2">
        <v>260</v>
      </c>
    </row>
    <row r="171" spans="1:11" x14ac:dyDescent="0.25">
      <c r="A171" s="56"/>
      <c r="B171" s="49" t="s">
        <v>41</v>
      </c>
      <c r="C171" s="49" t="s">
        <v>54</v>
      </c>
      <c r="D171" s="50">
        <f>SUM(D169:D170)</f>
        <v>-649881</v>
      </c>
      <c r="E171" s="50">
        <f t="shared" ref="E171:K171" si="204">SUM(E169:E170)</f>
        <v>-695218</v>
      </c>
      <c r="F171" s="50">
        <f t="shared" si="204"/>
        <v>-724494</v>
      </c>
      <c r="G171" s="50">
        <f t="shared" si="204"/>
        <v>-586024.4600000002</v>
      </c>
      <c r="H171" s="50">
        <f t="shared" si="204"/>
        <v>-714585.83000000019</v>
      </c>
      <c r="I171" s="50">
        <f t="shared" si="204"/>
        <v>-780393.05000000028</v>
      </c>
      <c r="J171" s="50">
        <f t="shared" si="204"/>
        <v>-785902.78999999992</v>
      </c>
      <c r="K171" s="50">
        <f t="shared" si="204"/>
        <v>-809760.20876086364</v>
      </c>
    </row>
    <row r="172" spans="1:11" x14ac:dyDescent="0.25">
      <c r="A172" s="56">
        <v>112</v>
      </c>
      <c r="B172" s="1" t="s">
        <v>18</v>
      </c>
      <c r="C172" s="1" t="s">
        <v>10</v>
      </c>
      <c r="D172" s="2">
        <v>-2739902</v>
      </c>
      <c r="E172" s="2">
        <v>-2837984</v>
      </c>
      <c r="F172" s="2">
        <v>-2952302</v>
      </c>
      <c r="G172" s="2">
        <v>-1892375.16</v>
      </c>
      <c r="H172" s="2">
        <v>-1792066.4399999997</v>
      </c>
      <c r="I172" s="2">
        <v>-2019080.3700000006</v>
      </c>
      <c r="J172" s="2">
        <v>-2680695.0300000003</v>
      </c>
      <c r="K172" s="2">
        <v>-3036342.3648086712</v>
      </c>
    </row>
    <row r="173" spans="1:11" x14ac:dyDescent="0.25">
      <c r="A173" s="56"/>
      <c r="B173" s="4"/>
      <c r="C173" s="4" t="s">
        <v>11</v>
      </c>
      <c r="D173" s="5">
        <v>424596</v>
      </c>
      <c r="E173" s="5">
        <v>331579</v>
      </c>
      <c r="F173" s="5">
        <v>411853</v>
      </c>
      <c r="G173" s="5">
        <v>109584.33</v>
      </c>
      <c r="H173" s="5">
        <v>-75054.350000000006</v>
      </c>
      <c r="I173" s="5">
        <v>164426.84999999998</v>
      </c>
      <c r="J173" s="5">
        <v>140289.80000000002</v>
      </c>
      <c r="K173" s="5">
        <v>97929</v>
      </c>
    </row>
    <row r="174" spans="1:11" x14ac:dyDescent="0.25">
      <c r="A174" s="56"/>
      <c r="B174" s="21" t="s">
        <v>18</v>
      </c>
      <c r="C174" s="21" t="s">
        <v>54</v>
      </c>
      <c r="D174" s="29">
        <f>SUM(D172:D173)</f>
        <v>-2315306</v>
      </c>
      <c r="E174" s="29">
        <f t="shared" ref="E174:J174" si="205">SUM(E172:E173)</f>
        <v>-2506405</v>
      </c>
      <c r="F174" s="29">
        <f t="shared" si="205"/>
        <v>-2540449</v>
      </c>
      <c r="G174" s="29">
        <f t="shared" si="205"/>
        <v>-1782790.8299999998</v>
      </c>
      <c r="H174" s="29">
        <f t="shared" si="205"/>
        <v>-1867120.7899999998</v>
      </c>
      <c r="I174" s="29">
        <f t="shared" si="205"/>
        <v>-1854653.5200000005</v>
      </c>
      <c r="J174" s="29">
        <f t="shared" si="205"/>
        <v>-2540405.2300000004</v>
      </c>
      <c r="K174" s="29">
        <f>SUM(K172:K173)</f>
        <v>-2938413.3648086712</v>
      </c>
    </row>
    <row r="175" spans="1:11" ht="12" customHeight="1" x14ac:dyDescent="0.25">
      <c r="A175" s="56">
        <v>118</v>
      </c>
      <c r="B175" s="1" t="s">
        <v>57</v>
      </c>
      <c r="C175" s="1" t="s">
        <v>10</v>
      </c>
      <c r="D175" s="2">
        <v>-474624</v>
      </c>
      <c r="E175" s="2">
        <v>-473420</v>
      </c>
      <c r="F175" s="2">
        <v>-480826</v>
      </c>
      <c r="G175" s="2">
        <v>-367686.08999999997</v>
      </c>
      <c r="H175" s="2">
        <v>-493238.27</v>
      </c>
      <c r="I175" s="2">
        <v>-879086.74</v>
      </c>
      <c r="J175" s="2">
        <v>-956035.27999999968</v>
      </c>
      <c r="K175" s="2">
        <v>-1101678.5388812041</v>
      </c>
    </row>
    <row r="176" spans="1:11" x14ac:dyDescent="0.25">
      <c r="A176" s="56"/>
      <c r="B176" s="4"/>
      <c r="C176" s="4" t="s">
        <v>11</v>
      </c>
      <c r="D176" s="5">
        <v>80504</v>
      </c>
      <c r="E176" s="5">
        <v>52567</v>
      </c>
      <c r="F176" s="5">
        <v>38287</v>
      </c>
      <c r="G176" s="5">
        <v>22436.22</v>
      </c>
      <c r="H176" s="5">
        <v>-59182.720000000001</v>
      </c>
      <c r="I176" s="5">
        <v>149130.32999999999</v>
      </c>
      <c r="J176" s="5">
        <v>187569.87</v>
      </c>
      <c r="K176" s="5">
        <v>166000</v>
      </c>
    </row>
    <row r="177" spans="1:13" x14ac:dyDescent="0.25">
      <c r="A177" s="56"/>
      <c r="B177" s="21" t="s">
        <v>57</v>
      </c>
      <c r="C177" s="21" t="s">
        <v>54</v>
      </c>
      <c r="D177" s="29">
        <f>SUM(D175:D176)</f>
        <v>-394120</v>
      </c>
      <c r="E177" s="29">
        <f t="shared" ref="E177:K177" si="206">SUM(E175:E176)</f>
        <v>-420853</v>
      </c>
      <c r="F177" s="29">
        <f t="shared" si="206"/>
        <v>-442539</v>
      </c>
      <c r="G177" s="29">
        <f t="shared" si="206"/>
        <v>-345249.87</v>
      </c>
      <c r="H177" s="29">
        <f t="shared" si="206"/>
        <v>-552420.99</v>
      </c>
      <c r="I177" s="29">
        <f t="shared" si="206"/>
        <v>-729956.41</v>
      </c>
      <c r="J177" s="29">
        <f t="shared" si="206"/>
        <v>-768465.40999999968</v>
      </c>
      <c r="K177" s="29">
        <f t="shared" si="206"/>
        <v>-935678.53888120409</v>
      </c>
    </row>
    <row r="178" spans="1:13" x14ac:dyDescent="0.25">
      <c r="A178" s="56">
        <v>104</v>
      </c>
      <c r="B178" s="6" t="s">
        <v>12</v>
      </c>
      <c r="C178" s="6" t="s">
        <v>10</v>
      </c>
      <c r="D178" s="2">
        <v>-156273</v>
      </c>
      <c r="E178" s="2">
        <v>-212742</v>
      </c>
      <c r="F178" s="2">
        <v>-381049</v>
      </c>
      <c r="G178" s="2">
        <v>-615634.98</v>
      </c>
      <c r="H178" s="2">
        <v>-405701.74000000017</v>
      </c>
      <c r="I178" s="2">
        <v>-494202.78000000009</v>
      </c>
      <c r="J178" s="2">
        <v>-835701.46000000008</v>
      </c>
      <c r="K178" s="2">
        <v>-1000988.9636392752</v>
      </c>
    </row>
    <row r="179" spans="1:13" x14ac:dyDescent="0.25">
      <c r="A179" s="56">
        <v>100</v>
      </c>
      <c r="B179" s="4" t="s">
        <v>40</v>
      </c>
      <c r="C179" s="4" t="s">
        <v>10</v>
      </c>
      <c r="D179" s="2">
        <v>-1186393</v>
      </c>
      <c r="E179" s="2">
        <v>-1083674</v>
      </c>
      <c r="F179" s="2">
        <v>-1123608</v>
      </c>
      <c r="G179" s="2">
        <v>-1013529.96</v>
      </c>
      <c r="H179" s="2">
        <v>-980311.4800000001</v>
      </c>
      <c r="I179" s="2">
        <v>-791826.08000000019</v>
      </c>
      <c r="J179" s="2">
        <v>-1265899.5099999995</v>
      </c>
      <c r="K179" s="2">
        <v>-1896401.0581073265</v>
      </c>
    </row>
    <row r="180" spans="1:13" x14ac:dyDescent="0.25">
      <c r="A180" s="56"/>
      <c r="B180" s="16" t="s">
        <v>40</v>
      </c>
      <c r="C180" s="16" t="s">
        <v>54</v>
      </c>
      <c r="D180" s="53">
        <f t="shared" ref="D180:K180" si="207">SUM(D169,D177:D179,D174)</f>
        <v>-4702243</v>
      </c>
      <c r="E180" s="53">
        <f t="shared" si="207"/>
        <v>-4921546</v>
      </c>
      <c r="F180" s="53">
        <f t="shared" si="207"/>
        <v>-5212139</v>
      </c>
      <c r="G180" s="53">
        <f t="shared" si="207"/>
        <v>-4343230.0999999996</v>
      </c>
      <c r="H180" s="53">
        <f t="shared" si="207"/>
        <v>-4520140.83</v>
      </c>
      <c r="I180" s="53">
        <f t="shared" si="207"/>
        <v>-4651271.8400000017</v>
      </c>
      <c r="J180" s="53">
        <f t="shared" si="207"/>
        <v>-6196374.3999999994</v>
      </c>
      <c r="K180" s="53">
        <f t="shared" si="207"/>
        <v>-7581502.1341973403</v>
      </c>
    </row>
    <row r="181" spans="1:13" x14ac:dyDescent="0.25">
      <c r="A181" s="56"/>
      <c r="C181" s="22" t="s">
        <v>61</v>
      </c>
      <c r="D181" s="18">
        <f>-D180/D$13</f>
        <v>3.5299372227627954E-2</v>
      </c>
      <c r="E181" s="18">
        <f t="shared" ref="E181:K181" si="208">-E180/E$13</f>
        <v>3.5395852139713746E-2</v>
      </c>
      <c r="F181" s="18">
        <f t="shared" si="208"/>
        <v>3.6864569238952823E-2</v>
      </c>
      <c r="G181" s="18">
        <f t="shared" si="208"/>
        <v>3.1101284072541844E-2</v>
      </c>
      <c r="H181" s="18">
        <f t="shared" si="208"/>
        <v>3.0882622924617985E-2</v>
      </c>
      <c r="I181" s="18">
        <f t="shared" si="208"/>
        <v>2.9097046379137379E-2</v>
      </c>
      <c r="J181" s="18">
        <f t="shared" si="208"/>
        <v>3.5595937072469927E-2</v>
      </c>
      <c r="K181" s="18">
        <f t="shared" si="208"/>
        <v>4.1644657218121314E-2</v>
      </c>
    </row>
    <row r="182" spans="1:13" x14ac:dyDescent="0.25">
      <c r="A182" s="56"/>
      <c r="C182" s="22" t="s">
        <v>62</v>
      </c>
      <c r="D182" s="19">
        <f t="shared" ref="D182" si="209">D181*D$2</f>
        <v>14.437443241099833</v>
      </c>
      <c r="E182" s="19">
        <f t="shared" ref="E182" si="210">E181*E$2</f>
        <v>14.866257898679773</v>
      </c>
      <c r="F182" s="19">
        <f t="shared" ref="F182" si="211">F181*F$2</f>
        <v>16.109816757422383</v>
      </c>
      <c r="G182" s="19">
        <f t="shared" ref="G182" si="212">G181*G$2</f>
        <v>14.135533610970269</v>
      </c>
      <c r="H182" s="19">
        <f t="shared" ref="H182" si="213">H181*H$2</f>
        <v>14.036152119238874</v>
      </c>
      <c r="I182" s="19">
        <f t="shared" ref="I182" si="214">I181*I$2</f>
        <v>14.461232050431278</v>
      </c>
      <c r="J182" s="19">
        <f t="shared" ref="J182" si="215">J181*J$2</f>
        <v>19.008230396698941</v>
      </c>
      <c r="K182" s="19">
        <f>K181*K$2</f>
        <v>23.404297356584177</v>
      </c>
    </row>
    <row r="183" spans="1:13" x14ac:dyDescent="0.25">
      <c r="A183" s="56"/>
    </row>
    <row r="184" spans="1:13" x14ac:dyDescent="0.25">
      <c r="A184" s="56"/>
      <c r="B184" s="14" t="s">
        <v>55</v>
      </c>
      <c r="C184" s="14"/>
      <c r="D184" s="15">
        <f t="shared" ref="D184:K184" si="216">SUM(D180,D164,D147,D153,D131,D124,D117,D110,D101,D94,D85,D64,D71,D53,D44,D28,D19,D13)</f>
        <v>17561761</v>
      </c>
      <c r="E184" s="15">
        <f t="shared" si="216"/>
        <v>15514451</v>
      </c>
      <c r="F184" s="15">
        <f t="shared" si="216"/>
        <v>5066866</v>
      </c>
      <c r="G184" s="15">
        <f t="shared" si="216"/>
        <v>17830167.729999989</v>
      </c>
      <c r="H184" s="15">
        <f t="shared" si="216"/>
        <v>-1879894.5200000405</v>
      </c>
      <c r="I184" s="15">
        <f t="shared" si="216"/>
        <v>13250277.059999973</v>
      </c>
      <c r="J184" s="15">
        <f t="shared" si="216"/>
        <v>2727787.3100000322</v>
      </c>
      <c r="K184" s="15">
        <f t="shared" si="216"/>
        <v>4529281.2342897058</v>
      </c>
    </row>
    <row r="185" spans="1:13" x14ac:dyDescent="0.25">
      <c r="A185" s="56"/>
    </row>
    <row r="186" spans="1:13" x14ac:dyDescent="0.25">
      <c r="A186" s="56"/>
      <c r="B186" s="16" t="s">
        <v>2</v>
      </c>
      <c r="D186" s="52"/>
      <c r="E186" s="52"/>
      <c r="F186" s="52"/>
      <c r="G186" s="52"/>
      <c r="H186" s="52"/>
      <c r="I186" s="52"/>
      <c r="J186" s="52"/>
      <c r="K186" s="52"/>
    </row>
    <row r="187" spans="1:13" x14ac:dyDescent="0.25">
      <c r="A187" s="56">
        <v>200</v>
      </c>
      <c r="B187" s="1" t="s">
        <v>3</v>
      </c>
      <c r="C187" s="1" t="s">
        <v>10</v>
      </c>
      <c r="D187" s="2">
        <v>-44004107</v>
      </c>
      <c r="E187" s="2">
        <v>-44591495</v>
      </c>
      <c r="F187" s="2">
        <v>-46176486</v>
      </c>
      <c r="G187" s="2">
        <v>-25619952.47000001</v>
      </c>
      <c r="H187" s="2">
        <v>-30189164.540000003</v>
      </c>
      <c r="I187" s="2">
        <v>-49259901.449999951</v>
      </c>
      <c r="J187" s="2">
        <v>-52528252.799999997</v>
      </c>
      <c r="K187" s="61">
        <v>-60881995.946849614</v>
      </c>
    </row>
    <row r="188" spans="1:13" x14ac:dyDescent="0.25">
      <c r="A188" s="56"/>
      <c r="B188" s="4"/>
      <c r="C188" s="4" t="s">
        <v>11</v>
      </c>
      <c r="D188" s="5">
        <v>38566648</v>
      </c>
      <c r="E188" s="5">
        <v>39999886</v>
      </c>
      <c r="F188" s="5">
        <v>41741122</v>
      </c>
      <c r="G188" s="5">
        <v>14944602.68</v>
      </c>
      <c r="H188" s="5">
        <v>24102099.890000008</v>
      </c>
      <c r="I188" s="5">
        <v>42398056.649999991</v>
      </c>
      <c r="J188" s="5">
        <v>49229573.960000016</v>
      </c>
      <c r="K188" s="59">
        <v>56182454.712378509</v>
      </c>
      <c r="M188" s="47"/>
    </row>
    <row r="189" spans="1:13" x14ac:dyDescent="0.25">
      <c r="A189" s="56"/>
      <c r="B189" s="21" t="s">
        <v>3</v>
      </c>
      <c r="C189" s="21" t="s">
        <v>54</v>
      </c>
      <c r="D189" s="29">
        <f>SUM(D187:D188)</f>
        <v>-5437459</v>
      </c>
      <c r="E189" s="29">
        <f t="shared" ref="E189:K189" si="217">SUM(E187:E188)</f>
        <v>-4591609</v>
      </c>
      <c r="F189" s="29">
        <f t="shared" si="217"/>
        <v>-4435364</v>
      </c>
      <c r="G189" s="29">
        <f t="shared" si="217"/>
        <v>-10675349.79000001</v>
      </c>
      <c r="H189" s="29">
        <f t="shared" si="217"/>
        <v>-6087064.6499999948</v>
      </c>
      <c r="I189" s="29">
        <f t="shared" si="217"/>
        <v>-6861844.7999999598</v>
      </c>
      <c r="J189" s="29">
        <f t="shared" si="217"/>
        <v>-3298678.8399999812</v>
      </c>
      <c r="K189" s="29">
        <f t="shared" si="217"/>
        <v>-4699541.234471105</v>
      </c>
    </row>
    <row r="190" spans="1:13" s="6" customFormat="1" x14ac:dyDescent="0.25">
      <c r="A190" s="57" t="s">
        <v>90</v>
      </c>
      <c r="C190" s="27" t="s">
        <v>48</v>
      </c>
      <c r="D190" s="28">
        <v>-1303900</v>
      </c>
      <c r="E190" s="28">
        <v>-1784323</v>
      </c>
      <c r="F190" s="28">
        <v>-2176566</v>
      </c>
      <c r="G190" s="28">
        <v>-1456853.0999999999</v>
      </c>
      <c r="H190" s="28">
        <v>-1960573.94</v>
      </c>
      <c r="I190" s="28">
        <v>-2565624.0799999996</v>
      </c>
      <c r="J190" s="28">
        <v>-3022239.5999999996</v>
      </c>
      <c r="K190" s="28">
        <v>-2309828.1543342071</v>
      </c>
      <c r="M190" s="51"/>
    </row>
    <row r="191" spans="1:13" x14ac:dyDescent="0.25">
      <c r="A191" s="56">
        <v>4131</v>
      </c>
      <c r="C191" s="9" t="s">
        <v>49</v>
      </c>
      <c r="D191" s="10">
        <v>-710589</v>
      </c>
      <c r="E191" s="10">
        <v>-392293</v>
      </c>
      <c r="F191" s="10">
        <v>-383382</v>
      </c>
      <c r="G191" s="10">
        <v>-1718802.35</v>
      </c>
      <c r="H191" s="10">
        <v>-454084.41</v>
      </c>
      <c r="I191" s="10">
        <v>-183391.78</v>
      </c>
      <c r="J191" s="10">
        <v>-216708.05</v>
      </c>
      <c r="K191" s="60">
        <v>-250000</v>
      </c>
    </row>
    <row r="192" spans="1:13" x14ac:dyDescent="0.25">
      <c r="B192" s="16" t="s">
        <v>2</v>
      </c>
      <c r="C192" s="16" t="s">
        <v>54</v>
      </c>
      <c r="D192" s="17">
        <f>SUM(D189:D191)</f>
        <v>-7451948</v>
      </c>
      <c r="E192" s="17">
        <f t="shared" ref="E192:K192" si="218">SUM(E189:E191)</f>
        <v>-6768225</v>
      </c>
      <c r="F192" s="17">
        <f t="shared" si="218"/>
        <v>-6995312</v>
      </c>
      <c r="G192" s="17">
        <f t="shared" si="218"/>
        <v>-13851005.24000001</v>
      </c>
      <c r="H192" s="17">
        <f t="shared" si="218"/>
        <v>-8501722.9999999944</v>
      </c>
      <c r="I192" s="17">
        <f t="shared" si="218"/>
        <v>-9610860.6599999592</v>
      </c>
      <c r="J192" s="17">
        <f t="shared" si="218"/>
        <v>-6537626.4899999807</v>
      </c>
      <c r="K192" s="17">
        <f t="shared" si="218"/>
        <v>-7259369.3888053121</v>
      </c>
    </row>
    <row r="193" spans="2:11" x14ac:dyDescent="0.25">
      <c r="C193" s="22" t="s">
        <v>61</v>
      </c>
      <c r="D193" s="18">
        <f t="shared" ref="D193" si="219">-D192/D$13-D195</f>
        <v>4.0818581518110755E-2</v>
      </c>
      <c r="E193" s="18">
        <f t="shared" ref="E193" si="220">-E192/E$13-E195</f>
        <v>3.3022938980429906E-2</v>
      </c>
      <c r="F193" s="18">
        <f t="shared" ref="F193" si="221">-F192/F$13-F195</f>
        <v>3.1370572288643629E-2</v>
      </c>
      <c r="G193" s="18">
        <f t="shared" ref="G193" si="222">-G192/G$13-G195</f>
        <v>7.6444737844430635E-2</v>
      </c>
      <c r="H193" s="18">
        <f t="shared" ref="H193" si="223">-H192/H$13-H195</f>
        <v>4.1588200318024515E-2</v>
      </c>
      <c r="I193" s="18">
        <f t="shared" ref="I193" si="224">-I192/I$13-I195</f>
        <v>4.2925768103900246E-2</v>
      </c>
      <c r="J193" s="18">
        <f t="shared" ref="J193" si="225">-J192/J$13-J195</f>
        <v>1.8949720728774464E-2</v>
      </c>
      <c r="K193" s="18">
        <f>-K192/K$13-K195</f>
        <v>2.5814248987571627E-2</v>
      </c>
    </row>
    <row r="194" spans="2:11" x14ac:dyDescent="0.25">
      <c r="C194" s="22" t="s">
        <v>62</v>
      </c>
      <c r="D194" s="19">
        <f t="shared" ref="D194" si="226">D193*D$2</f>
        <v>16.694799840907297</v>
      </c>
      <c r="E194" s="19">
        <f t="shared" ref="E194" si="227">E193*E$2</f>
        <v>13.86963437178056</v>
      </c>
      <c r="F194" s="19">
        <f t="shared" ref="F194" si="228">F193*F$2</f>
        <v>13.708940090137267</v>
      </c>
      <c r="G194" s="19">
        <f t="shared" ref="G194" si="229">G193*G$2</f>
        <v>34.744133350293723</v>
      </c>
      <c r="H194" s="19">
        <f t="shared" ref="H194" si="230">H193*H$2</f>
        <v>18.901837044542141</v>
      </c>
      <c r="I194" s="19">
        <f t="shared" ref="I194" si="231">I193*I$2</f>
        <v>21.334106747638423</v>
      </c>
      <c r="J194" s="19">
        <f t="shared" ref="J194" si="232">J193*J$2</f>
        <v>10.119150869165564</v>
      </c>
      <c r="K194" s="19">
        <f>K193*K$2</f>
        <v>14.507607931015254</v>
      </c>
    </row>
    <row r="195" spans="2:11" x14ac:dyDescent="0.25">
      <c r="C195" s="23" t="s">
        <v>61</v>
      </c>
      <c r="D195" s="24">
        <f>(-D191-D190)/D$13</f>
        <v>1.512261213626391E-2</v>
      </c>
      <c r="E195" s="24">
        <f t="shared" ref="E195:J195" si="233">(-E191-E190)/E$13</f>
        <v>1.5654263538517198E-2</v>
      </c>
      <c r="F195" s="24">
        <f t="shared" si="233"/>
        <v>1.810607512465013E-2</v>
      </c>
      <c r="G195" s="24">
        <f t="shared" si="233"/>
        <v>2.2740439717197049E-2</v>
      </c>
      <c r="H195" s="24">
        <f t="shared" si="233"/>
        <v>1.6497491144502736E-2</v>
      </c>
      <c r="I195" s="24">
        <f t="shared" si="233"/>
        <v>1.719706882911496E-2</v>
      </c>
      <c r="J195" s="24">
        <f t="shared" si="233"/>
        <v>1.8606586575921614E-2</v>
      </c>
      <c r="K195" s="24">
        <f>(-K191-K190)/K$13</f>
        <v>1.4060955749612851E-2</v>
      </c>
    </row>
    <row r="196" spans="2:11" x14ac:dyDescent="0.25">
      <c r="C196" s="25" t="s">
        <v>62</v>
      </c>
      <c r="D196" s="26">
        <f t="shared" ref="D196" si="234">D195*D$2</f>
        <v>6.1851483637319395</v>
      </c>
      <c r="E196" s="26">
        <f t="shared" ref="E196" si="235">E195*E$2</f>
        <v>6.5747906861772227</v>
      </c>
      <c r="F196" s="26">
        <f t="shared" ref="F196" si="236">F195*F$2</f>
        <v>7.9123548294721067</v>
      </c>
      <c r="G196" s="26">
        <f t="shared" ref="G196" si="237">G195*G$2</f>
        <v>10.33552985146606</v>
      </c>
      <c r="H196" s="26">
        <f t="shared" ref="H196" si="238">H195*H$2</f>
        <v>7.4981097251764934</v>
      </c>
      <c r="I196" s="26">
        <f t="shared" ref="I196" si="239">I195*I$2</f>
        <v>8.546943208070136</v>
      </c>
      <c r="J196" s="26">
        <f t="shared" ref="J196" si="240">J195*J$2</f>
        <v>9.9359172315421418</v>
      </c>
      <c r="K196" s="26">
        <f>K195*K$2</f>
        <v>7.9022571312824219</v>
      </c>
    </row>
    <row r="197" spans="2:11" x14ac:dyDescent="0.25">
      <c r="K197" s="2"/>
    </row>
    <row r="198" spans="2:11" x14ac:dyDescent="0.25">
      <c r="B198" s="14" t="s">
        <v>67</v>
      </c>
      <c r="C198" s="14"/>
      <c r="D198" s="15">
        <f>SUM(D184,D192)</f>
        <v>10109813</v>
      </c>
      <c r="E198" s="15">
        <f>SUM(E184,E192)</f>
        <v>8746226</v>
      </c>
      <c r="F198" s="15">
        <f t="shared" ref="F198:J198" si="241">SUM(F184,F192)</f>
        <v>-1928446</v>
      </c>
      <c r="G198" s="15">
        <f t="shared" si="241"/>
        <v>3979162.4899999797</v>
      </c>
      <c r="H198" s="15">
        <f t="shared" si="241"/>
        <v>-10381617.520000035</v>
      </c>
      <c r="I198" s="15">
        <f t="shared" si="241"/>
        <v>3639416.4000000134</v>
      </c>
      <c r="J198" s="15">
        <f t="shared" si="241"/>
        <v>-3809839.1799999485</v>
      </c>
      <c r="K198" s="15">
        <f>SUM(K184,K192)</f>
        <v>-2730088.1545156064</v>
      </c>
    </row>
    <row r="199" spans="2:11" x14ac:dyDescent="0.25">
      <c r="D199" s="30">
        <f>-D198/D$13</f>
        <v>-7.5893579348985593E-2</v>
      </c>
      <c r="E199" s="30">
        <f t="shared" ref="E199:K199" si="242">-E198/E$13</f>
        <v>-6.2903023211917555E-2</v>
      </c>
      <c r="F199" s="30">
        <f t="shared" si="242"/>
        <v>1.3639569299779152E-2</v>
      </c>
      <c r="G199" s="30">
        <f t="shared" si="242"/>
        <v>-2.8494245094749258E-2</v>
      </c>
      <c r="H199" s="30">
        <f t="shared" si="242"/>
        <v>7.092955535586018E-2</v>
      </c>
      <c r="I199" s="30">
        <f t="shared" si="242"/>
        <v>-2.2767163783700403E-2</v>
      </c>
      <c r="J199" s="30">
        <f t="shared" si="242"/>
        <v>2.1886152603611011E-2</v>
      </c>
      <c r="K199" s="30">
        <f t="shared" si="242"/>
        <v>1.4996181938303004E-2</v>
      </c>
    </row>
    <row r="201" spans="2:11" x14ac:dyDescent="0.25">
      <c r="B201" s="13" t="s">
        <v>65</v>
      </c>
      <c r="C201" s="13"/>
      <c r="D201" s="31">
        <f t="shared" ref="D201:K201" si="243">SUM(D195,D193,D181,D165,D154,D148,D134,D132,D125,D118,D111,D104,D102,D95,D86,D72,D65,D54,D47,D45,D29,D22,D20)-D199</f>
        <v>0.99999999999999989</v>
      </c>
      <c r="E201" s="31">
        <f t="shared" si="243"/>
        <v>1.0000000000000002</v>
      </c>
      <c r="F201" s="31">
        <f t="shared" si="243"/>
        <v>1.0000000000000002</v>
      </c>
      <c r="G201" s="31">
        <f t="shared" si="243"/>
        <v>1.0000000000000002</v>
      </c>
      <c r="H201" s="31">
        <f t="shared" si="243"/>
        <v>1</v>
      </c>
      <c r="I201" s="31">
        <f t="shared" si="243"/>
        <v>1.0000000000000002</v>
      </c>
      <c r="J201" s="31">
        <f t="shared" si="243"/>
        <v>1.0000000000000004</v>
      </c>
      <c r="K201" s="31">
        <f t="shared" si="243"/>
        <v>0.99999999999999989</v>
      </c>
    </row>
    <row r="206" spans="2:11" x14ac:dyDescent="0.25">
      <c r="I206" s="2"/>
    </row>
    <row r="207" spans="2:11" x14ac:dyDescent="0.25">
      <c r="I207" s="2"/>
    </row>
  </sheetData>
  <pageMargins left="0.51181102362204722" right="0.51181102362204722" top="0.78740157480314965" bottom="0.78740157480314965" header="0.31496062992125984" footer="0.31496062992125984"/>
  <pageSetup paperSize="9" scale="76" fitToHeight="0" orientation="landscape" r:id="rId1"/>
  <ignoredErrors>
    <ignoredError sqref="E36:K36 E43:J43 E174:J174" formulaRange="1"/>
    <ignoredError sqref="D134:K134 D195:K195 D22:J22" 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Resumo geral e gráfico</vt:lpstr>
      <vt:lpstr>Detalhado</vt:lpstr>
      <vt:lpstr>Detalhado!Titulos_de_impressao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 Miziara Pereira</dc:creator>
  <cp:lastModifiedBy>Caio Siqueira Marconato</cp:lastModifiedBy>
  <cp:lastPrinted>2021-10-08T14:30:21Z</cp:lastPrinted>
  <dcterms:created xsi:type="dcterms:W3CDTF">2021-08-27T18:13:34Z</dcterms:created>
  <dcterms:modified xsi:type="dcterms:W3CDTF">2023-12-21T17:26:36Z</dcterms:modified>
</cp:coreProperties>
</file>