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PO 2021\PO 2022\"/>
    </mc:Choice>
  </mc:AlternateContent>
  <bookViews>
    <workbookView xWindow="0" yWindow="0" windowWidth="20490" windowHeight="7620"/>
  </bookViews>
  <sheets>
    <sheet name="Resumo geral e gráfico" sheetId="4" r:id="rId1"/>
    <sheet name="Detalhado" sheetId="3" r:id="rId2"/>
  </sheets>
  <definedNames>
    <definedName name="_xlnm.Print_Titles" localSheetId="1">Detalhado!$3:$5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4" l="1"/>
  <c r="E56" i="4"/>
  <c r="F56" i="4"/>
  <c r="G56" i="4"/>
  <c r="H56" i="4"/>
  <c r="I56" i="4"/>
  <c r="J56" i="4"/>
  <c r="C56" i="4"/>
  <c r="D55" i="4"/>
  <c r="E55" i="4"/>
  <c r="F55" i="4"/>
  <c r="G55" i="4"/>
  <c r="H55" i="4"/>
  <c r="I55" i="4"/>
  <c r="J55" i="4"/>
  <c r="C55" i="4"/>
  <c r="D7" i="4"/>
  <c r="D31" i="4" s="1"/>
  <c r="E7" i="4"/>
  <c r="E31" i="4" s="1"/>
  <c r="F7" i="4"/>
  <c r="F31" i="4" s="1"/>
  <c r="G7" i="4"/>
  <c r="G31" i="4" s="1"/>
  <c r="H7" i="4"/>
  <c r="H31" i="4" s="1"/>
  <c r="I7" i="4"/>
  <c r="I31" i="4" s="1"/>
  <c r="J7" i="4"/>
  <c r="J31" i="4" s="1"/>
  <c r="D8" i="4"/>
  <c r="D32" i="4" s="1"/>
  <c r="E8" i="4"/>
  <c r="E32" i="4" s="1"/>
  <c r="F8" i="4"/>
  <c r="F32" i="4" s="1"/>
  <c r="G8" i="4"/>
  <c r="G32" i="4" s="1"/>
  <c r="H8" i="4"/>
  <c r="H32" i="4" s="1"/>
  <c r="I8" i="4"/>
  <c r="I32" i="4" s="1"/>
  <c r="J8" i="4"/>
  <c r="J32" i="4" s="1"/>
  <c r="D9" i="4"/>
  <c r="D33" i="4" s="1"/>
  <c r="E9" i="4"/>
  <c r="E33" i="4" s="1"/>
  <c r="F9" i="4"/>
  <c r="F33" i="4" s="1"/>
  <c r="G9" i="4"/>
  <c r="G33" i="4" s="1"/>
  <c r="H9" i="4"/>
  <c r="H33" i="4" s="1"/>
  <c r="I9" i="4"/>
  <c r="I33" i="4" s="1"/>
  <c r="J9" i="4"/>
  <c r="J33" i="4" s="1"/>
  <c r="D10" i="4"/>
  <c r="D34" i="4" s="1"/>
  <c r="E10" i="4"/>
  <c r="E34" i="4" s="1"/>
  <c r="F10" i="4"/>
  <c r="F34" i="4" s="1"/>
  <c r="G10" i="4"/>
  <c r="G34" i="4" s="1"/>
  <c r="H10" i="4"/>
  <c r="H34" i="4" s="1"/>
  <c r="I10" i="4"/>
  <c r="I34" i="4" s="1"/>
  <c r="J10" i="4"/>
  <c r="J34" i="4" s="1"/>
  <c r="D11" i="4"/>
  <c r="D35" i="4" s="1"/>
  <c r="E11" i="4"/>
  <c r="E35" i="4" s="1"/>
  <c r="F11" i="4"/>
  <c r="F35" i="4" s="1"/>
  <c r="G11" i="4"/>
  <c r="G35" i="4" s="1"/>
  <c r="H11" i="4"/>
  <c r="H35" i="4" s="1"/>
  <c r="I11" i="4"/>
  <c r="I35" i="4" s="1"/>
  <c r="J11" i="4"/>
  <c r="J35" i="4" s="1"/>
  <c r="D12" i="4"/>
  <c r="D36" i="4" s="1"/>
  <c r="E12" i="4"/>
  <c r="E36" i="4" s="1"/>
  <c r="F12" i="4"/>
  <c r="F36" i="4" s="1"/>
  <c r="G12" i="4"/>
  <c r="G36" i="4" s="1"/>
  <c r="H12" i="4"/>
  <c r="H36" i="4" s="1"/>
  <c r="I12" i="4"/>
  <c r="I36" i="4" s="1"/>
  <c r="J12" i="4"/>
  <c r="J36" i="4" s="1"/>
  <c r="D13" i="4"/>
  <c r="D37" i="4" s="1"/>
  <c r="E13" i="4"/>
  <c r="E37" i="4" s="1"/>
  <c r="F13" i="4"/>
  <c r="F37" i="4" s="1"/>
  <c r="G13" i="4"/>
  <c r="G37" i="4" s="1"/>
  <c r="H13" i="4"/>
  <c r="H37" i="4" s="1"/>
  <c r="I13" i="4"/>
  <c r="I37" i="4" s="1"/>
  <c r="J13" i="4"/>
  <c r="J37" i="4" s="1"/>
  <c r="D14" i="4"/>
  <c r="D38" i="4" s="1"/>
  <c r="E14" i="4"/>
  <c r="E38" i="4" s="1"/>
  <c r="F14" i="4"/>
  <c r="F38" i="4" s="1"/>
  <c r="G14" i="4"/>
  <c r="G38" i="4" s="1"/>
  <c r="H14" i="4"/>
  <c r="H38" i="4" s="1"/>
  <c r="I14" i="4"/>
  <c r="I38" i="4" s="1"/>
  <c r="J14" i="4"/>
  <c r="J38" i="4" s="1"/>
  <c r="D15" i="4"/>
  <c r="D39" i="4" s="1"/>
  <c r="E15" i="4"/>
  <c r="E39" i="4" s="1"/>
  <c r="F15" i="4"/>
  <c r="F39" i="4" s="1"/>
  <c r="G15" i="4"/>
  <c r="G39" i="4" s="1"/>
  <c r="H15" i="4"/>
  <c r="H39" i="4" s="1"/>
  <c r="I15" i="4"/>
  <c r="I39" i="4" s="1"/>
  <c r="J15" i="4"/>
  <c r="J39" i="4" s="1"/>
  <c r="D16" i="4"/>
  <c r="D40" i="4" s="1"/>
  <c r="E16" i="4"/>
  <c r="E40" i="4" s="1"/>
  <c r="F16" i="4"/>
  <c r="F40" i="4" s="1"/>
  <c r="G16" i="4"/>
  <c r="G40" i="4" s="1"/>
  <c r="H16" i="4"/>
  <c r="H40" i="4" s="1"/>
  <c r="I16" i="4"/>
  <c r="I40" i="4" s="1"/>
  <c r="J16" i="4"/>
  <c r="J40" i="4" s="1"/>
  <c r="D17" i="4"/>
  <c r="D41" i="4" s="1"/>
  <c r="E17" i="4"/>
  <c r="E41" i="4" s="1"/>
  <c r="F17" i="4"/>
  <c r="F41" i="4" s="1"/>
  <c r="G17" i="4"/>
  <c r="G41" i="4" s="1"/>
  <c r="H17" i="4"/>
  <c r="H41" i="4" s="1"/>
  <c r="I17" i="4"/>
  <c r="I41" i="4" s="1"/>
  <c r="J17" i="4"/>
  <c r="J41" i="4" s="1"/>
  <c r="D18" i="4"/>
  <c r="D42" i="4" s="1"/>
  <c r="E18" i="4"/>
  <c r="E42" i="4" s="1"/>
  <c r="F18" i="4"/>
  <c r="F42" i="4" s="1"/>
  <c r="G18" i="4"/>
  <c r="G42" i="4" s="1"/>
  <c r="H18" i="4"/>
  <c r="H42" i="4" s="1"/>
  <c r="I18" i="4"/>
  <c r="I42" i="4" s="1"/>
  <c r="J18" i="4"/>
  <c r="J42" i="4" s="1"/>
  <c r="D19" i="4"/>
  <c r="D43" i="4" s="1"/>
  <c r="E19" i="4"/>
  <c r="E43" i="4" s="1"/>
  <c r="F19" i="4"/>
  <c r="F43" i="4" s="1"/>
  <c r="G19" i="4"/>
  <c r="G43" i="4" s="1"/>
  <c r="H19" i="4"/>
  <c r="H43" i="4" s="1"/>
  <c r="I19" i="4"/>
  <c r="I43" i="4" s="1"/>
  <c r="J19" i="4"/>
  <c r="J43" i="4" s="1"/>
  <c r="D20" i="4"/>
  <c r="D44" i="4" s="1"/>
  <c r="E20" i="4"/>
  <c r="E44" i="4" s="1"/>
  <c r="F20" i="4"/>
  <c r="F44" i="4" s="1"/>
  <c r="G20" i="4"/>
  <c r="G44" i="4" s="1"/>
  <c r="H20" i="4"/>
  <c r="H44" i="4" s="1"/>
  <c r="I20" i="4"/>
  <c r="I44" i="4" s="1"/>
  <c r="J20" i="4"/>
  <c r="J44" i="4" s="1"/>
  <c r="D21" i="4"/>
  <c r="D45" i="4" s="1"/>
  <c r="E21" i="4"/>
  <c r="E45" i="4" s="1"/>
  <c r="F21" i="4"/>
  <c r="F45" i="4" s="1"/>
  <c r="G21" i="4"/>
  <c r="G45" i="4" s="1"/>
  <c r="H21" i="4"/>
  <c r="H45" i="4" s="1"/>
  <c r="I21" i="4"/>
  <c r="I45" i="4" s="1"/>
  <c r="J21" i="4"/>
  <c r="J45" i="4" s="1"/>
  <c r="D22" i="4"/>
  <c r="D46" i="4" s="1"/>
  <c r="E22" i="4"/>
  <c r="E46" i="4" s="1"/>
  <c r="F22" i="4"/>
  <c r="F46" i="4" s="1"/>
  <c r="G22" i="4"/>
  <c r="G46" i="4" s="1"/>
  <c r="H22" i="4"/>
  <c r="H46" i="4" s="1"/>
  <c r="I22" i="4"/>
  <c r="I46" i="4" s="1"/>
  <c r="J22" i="4"/>
  <c r="J46" i="4" s="1"/>
  <c r="D23" i="4"/>
  <c r="D47" i="4" s="1"/>
  <c r="E23" i="4"/>
  <c r="E47" i="4" s="1"/>
  <c r="F23" i="4"/>
  <c r="F47" i="4" s="1"/>
  <c r="G23" i="4"/>
  <c r="G47" i="4" s="1"/>
  <c r="H23" i="4"/>
  <c r="H47" i="4" s="1"/>
  <c r="I23" i="4"/>
  <c r="I47" i="4" s="1"/>
  <c r="J23" i="4"/>
  <c r="J47" i="4" s="1"/>
  <c r="D24" i="4"/>
  <c r="D48" i="4" s="1"/>
  <c r="E24" i="4"/>
  <c r="E48" i="4" s="1"/>
  <c r="F24" i="4"/>
  <c r="F48" i="4" s="1"/>
  <c r="G24" i="4"/>
  <c r="G48" i="4" s="1"/>
  <c r="H24" i="4"/>
  <c r="H48" i="4" s="1"/>
  <c r="I24" i="4"/>
  <c r="I48" i="4" s="1"/>
  <c r="J24" i="4"/>
  <c r="J48" i="4" s="1"/>
  <c r="D25" i="4"/>
  <c r="D49" i="4" s="1"/>
  <c r="E25" i="4"/>
  <c r="E49" i="4" s="1"/>
  <c r="F25" i="4"/>
  <c r="F49" i="4" s="1"/>
  <c r="G25" i="4"/>
  <c r="H25" i="4"/>
  <c r="H49" i="4" s="1"/>
  <c r="I25" i="4"/>
  <c r="I49" i="4" s="1"/>
  <c r="J25" i="4"/>
  <c r="J49" i="4" s="1"/>
  <c r="C18" i="4"/>
  <c r="C42" i="4" s="1"/>
  <c r="C25" i="4"/>
  <c r="C49" i="4" s="1"/>
  <c r="C24" i="4"/>
  <c r="C48" i="4" s="1"/>
  <c r="C23" i="4"/>
  <c r="C47" i="4" s="1"/>
  <c r="C22" i="4"/>
  <c r="C46" i="4" s="1"/>
  <c r="C21" i="4"/>
  <c r="C45" i="4" s="1"/>
  <c r="C20" i="4"/>
  <c r="C44" i="4" s="1"/>
  <c r="C19" i="4"/>
  <c r="C43" i="4" s="1"/>
  <c r="C17" i="4"/>
  <c r="C41" i="4" s="1"/>
  <c r="C16" i="4"/>
  <c r="C40" i="4" s="1"/>
  <c r="C15" i="4"/>
  <c r="C39" i="4" s="1"/>
  <c r="C14" i="4"/>
  <c r="C38" i="4" s="1"/>
  <c r="C13" i="4"/>
  <c r="C37" i="4" s="1"/>
  <c r="C12" i="4"/>
  <c r="C36" i="4" s="1"/>
  <c r="C11" i="4"/>
  <c r="C35" i="4" s="1"/>
  <c r="C10" i="4"/>
  <c r="C34" i="4" s="1"/>
  <c r="C9" i="4"/>
  <c r="C33" i="4" s="1"/>
  <c r="C8" i="4"/>
  <c r="C32" i="4" s="1"/>
  <c r="C7" i="4"/>
  <c r="C31" i="4" s="1"/>
  <c r="D4" i="4"/>
  <c r="E4" i="4"/>
  <c r="F4" i="4"/>
  <c r="G4" i="4"/>
  <c r="H4" i="4"/>
  <c r="I4" i="4"/>
  <c r="J4" i="4"/>
  <c r="C4" i="4"/>
  <c r="E12" i="3"/>
  <c r="E13" i="3" s="1"/>
  <c r="D12" i="3"/>
  <c r="F13" i="3"/>
  <c r="F190" i="3" s="1"/>
  <c r="E78" i="3"/>
  <c r="F78" i="3"/>
  <c r="G78" i="3"/>
  <c r="H78" i="3"/>
  <c r="I78" i="3"/>
  <c r="J78" i="3"/>
  <c r="K78" i="3"/>
  <c r="E75" i="3"/>
  <c r="F75" i="3"/>
  <c r="G75" i="3"/>
  <c r="H75" i="3"/>
  <c r="I75" i="3"/>
  <c r="J75" i="3"/>
  <c r="K75" i="3"/>
  <c r="E67" i="3"/>
  <c r="F67" i="3"/>
  <c r="G67" i="3"/>
  <c r="H67" i="3"/>
  <c r="I67" i="3"/>
  <c r="I68" i="3" s="1"/>
  <c r="J67" i="3"/>
  <c r="K67" i="3"/>
  <c r="E64" i="3"/>
  <c r="F64" i="3"/>
  <c r="G64" i="3"/>
  <c r="G68" i="3" s="1"/>
  <c r="H64" i="3"/>
  <c r="I64" i="3"/>
  <c r="J64" i="3"/>
  <c r="K64" i="3"/>
  <c r="E37" i="3"/>
  <c r="E41" i="3" s="1"/>
  <c r="F37" i="3"/>
  <c r="F41" i="3" s="1"/>
  <c r="G37" i="3"/>
  <c r="G41" i="3" s="1"/>
  <c r="H37" i="3"/>
  <c r="H41" i="3" s="1"/>
  <c r="I37" i="3"/>
  <c r="J37" i="3"/>
  <c r="J41" i="3" s="1"/>
  <c r="K37" i="3"/>
  <c r="K41" i="3" s="1"/>
  <c r="H68" i="3"/>
  <c r="E57" i="3"/>
  <c r="F57" i="3"/>
  <c r="G57" i="3"/>
  <c r="H57" i="3"/>
  <c r="I57" i="3"/>
  <c r="J57" i="3"/>
  <c r="K57" i="3"/>
  <c r="E50" i="3"/>
  <c r="F50" i="3"/>
  <c r="G50" i="3"/>
  <c r="H50" i="3"/>
  <c r="I50" i="3"/>
  <c r="J50" i="3"/>
  <c r="K50" i="3"/>
  <c r="I41" i="3"/>
  <c r="G13" i="3"/>
  <c r="G190" i="3" s="1"/>
  <c r="G191" i="3" s="1"/>
  <c r="H13" i="3"/>
  <c r="H190" i="3" s="1"/>
  <c r="I13" i="3"/>
  <c r="I190" i="3" s="1"/>
  <c r="I191" i="3" s="1"/>
  <c r="J13" i="3"/>
  <c r="J190" i="3" s="1"/>
  <c r="J191" i="3" s="1"/>
  <c r="K13" i="3"/>
  <c r="K190" i="3"/>
  <c r="K191" i="3" s="1"/>
  <c r="K163" i="3"/>
  <c r="J163" i="3"/>
  <c r="I163" i="3"/>
  <c r="H163" i="3"/>
  <c r="G163" i="3"/>
  <c r="F163" i="3"/>
  <c r="E163" i="3"/>
  <c r="D163" i="3"/>
  <c r="K146" i="3"/>
  <c r="J146" i="3"/>
  <c r="I146" i="3"/>
  <c r="H146" i="3"/>
  <c r="G146" i="3"/>
  <c r="F146" i="3"/>
  <c r="E146" i="3"/>
  <c r="D146" i="3"/>
  <c r="J120" i="3"/>
  <c r="D120" i="3"/>
  <c r="K120" i="3"/>
  <c r="I120" i="3"/>
  <c r="H120" i="3"/>
  <c r="G120" i="3"/>
  <c r="F120" i="3"/>
  <c r="E120" i="3"/>
  <c r="D50" i="3"/>
  <c r="I50" i="4" l="1"/>
  <c r="I51" i="4" s="1"/>
  <c r="J50" i="4"/>
  <c r="J51" i="4" s="1"/>
  <c r="H50" i="4"/>
  <c r="H51" i="4" s="1"/>
  <c r="G26" i="4"/>
  <c r="C26" i="4"/>
  <c r="G49" i="4"/>
  <c r="G50" i="4" s="1"/>
  <c r="G51" i="4" s="1"/>
  <c r="C50" i="4"/>
  <c r="C51" i="4" s="1"/>
  <c r="D50" i="4"/>
  <c r="D51" i="4" s="1"/>
  <c r="E50" i="4"/>
  <c r="E51" i="4" s="1"/>
  <c r="F50" i="4"/>
  <c r="F51" i="4" s="1"/>
  <c r="E26" i="4"/>
  <c r="D26" i="4"/>
  <c r="H26" i="4"/>
  <c r="I26" i="4"/>
  <c r="J26" i="4"/>
  <c r="F26" i="4"/>
  <c r="E68" i="3"/>
  <c r="F68" i="3"/>
  <c r="J68" i="3"/>
  <c r="K68" i="3"/>
  <c r="F191" i="3"/>
  <c r="H191" i="3"/>
  <c r="E190" i="3"/>
  <c r="E191" i="3" s="1"/>
  <c r="J188" i="3"/>
  <c r="J189" i="3" s="1"/>
  <c r="I188" i="3"/>
  <c r="I189" i="3" s="1"/>
  <c r="K184" i="3"/>
  <c r="K187" i="3" s="1"/>
  <c r="K188" i="3" s="1"/>
  <c r="K189" i="3" s="1"/>
  <c r="J184" i="3"/>
  <c r="J187" i="3" s="1"/>
  <c r="I184" i="3"/>
  <c r="I187" i="3" s="1"/>
  <c r="H184" i="3"/>
  <c r="H187" i="3" s="1"/>
  <c r="H188" i="3" s="1"/>
  <c r="H189" i="3" s="1"/>
  <c r="G184" i="3"/>
  <c r="G187" i="3" s="1"/>
  <c r="G188" i="3" s="1"/>
  <c r="G189" i="3" s="1"/>
  <c r="F184" i="3"/>
  <c r="F187" i="3" s="1"/>
  <c r="F188" i="3" s="1"/>
  <c r="F189" i="3" s="1"/>
  <c r="E184" i="3"/>
  <c r="E187" i="3" s="1"/>
  <c r="D184" i="3"/>
  <c r="D187" i="3" s="1"/>
  <c r="E188" i="3" l="1"/>
  <c r="E189" i="3" s="1"/>
  <c r="K171" i="3"/>
  <c r="K175" i="3" s="1"/>
  <c r="K176" i="3" s="1"/>
  <c r="K177" i="3" s="1"/>
  <c r="J171" i="3"/>
  <c r="J175" i="3" s="1"/>
  <c r="J176" i="3" s="1"/>
  <c r="J177" i="3" s="1"/>
  <c r="I171" i="3"/>
  <c r="I175" i="3" s="1"/>
  <c r="I176" i="3" s="1"/>
  <c r="I177" i="3" s="1"/>
  <c r="H171" i="3"/>
  <c r="H175" i="3" s="1"/>
  <c r="H176" i="3" s="1"/>
  <c r="H177" i="3" s="1"/>
  <c r="G171" i="3"/>
  <c r="G175" i="3" s="1"/>
  <c r="G176" i="3" s="1"/>
  <c r="G177" i="3" s="1"/>
  <c r="F171" i="3"/>
  <c r="F175" i="3" s="1"/>
  <c r="F176" i="3" s="1"/>
  <c r="F177" i="3" s="1"/>
  <c r="E171" i="3"/>
  <c r="E175" i="3" s="1"/>
  <c r="E176" i="3" s="1"/>
  <c r="E177" i="3" s="1"/>
  <c r="D171" i="3"/>
  <c r="D175" i="3" s="1"/>
  <c r="K156" i="3"/>
  <c r="J156" i="3"/>
  <c r="I156" i="3"/>
  <c r="H156" i="3"/>
  <c r="G156" i="3"/>
  <c r="F156" i="3"/>
  <c r="E156" i="3"/>
  <c r="D156" i="3"/>
  <c r="K153" i="3"/>
  <c r="J153" i="3"/>
  <c r="I153" i="3"/>
  <c r="H153" i="3"/>
  <c r="G153" i="3"/>
  <c r="F153" i="3"/>
  <c r="E153" i="3"/>
  <c r="D153" i="3"/>
  <c r="K138" i="3"/>
  <c r="J138" i="3"/>
  <c r="I138" i="3"/>
  <c r="H138" i="3"/>
  <c r="G138" i="3"/>
  <c r="F138" i="3"/>
  <c r="E138" i="3"/>
  <c r="D138" i="3"/>
  <c r="K135" i="3"/>
  <c r="J135" i="3"/>
  <c r="I135" i="3"/>
  <c r="H135" i="3"/>
  <c r="G135" i="3"/>
  <c r="F135" i="3"/>
  <c r="E135" i="3"/>
  <c r="D135" i="3"/>
  <c r="K132" i="3"/>
  <c r="J132" i="3"/>
  <c r="I132" i="3"/>
  <c r="H132" i="3"/>
  <c r="G132" i="3"/>
  <c r="F132" i="3"/>
  <c r="E132" i="3"/>
  <c r="D132" i="3"/>
  <c r="K129" i="3"/>
  <c r="J129" i="3"/>
  <c r="I129" i="3"/>
  <c r="H129" i="3"/>
  <c r="G129" i="3"/>
  <c r="F129" i="3"/>
  <c r="E129" i="3"/>
  <c r="D129" i="3"/>
  <c r="K112" i="3"/>
  <c r="J112" i="3"/>
  <c r="I112" i="3"/>
  <c r="H112" i="3"/>
  <c r="G112" i="3"/>
  <c r="F112" i="3"/>
  <c r="E112" i="3"/>
  <c r="D112" i="3"/>
  <c r="K109" i="3"/>
  <c r="J109" i="3"/>
  <c r="I109" i="3"/>
  <c r="H109" i="3"/>
  <c r="G109" i="3"/>
  <c r="F109" i="3"/>
  <c r="E109" i="3"/>
  <c r="D109" i="3"/>
  <c r="K102" i="3"/>
  <c r="J102" i="3"/>
  <c r="I102" i="3"/>
  <c r="H102" i="3"/>
  <c r="G102" i="3"/>
  <c r="F102" i="3"/>
  <c r="E102" i="3"/>
  <c r="D102" i="3"/>
  <c r="D13" i="3"/>
  <c r="D190" i="3" s="1"/>
  <c r="D191" i="3" s="1"/>
  <c r="D176" i="3" l="1"/>
  <c r="D177" i="3" s="1"/>
  <c r="D188" i="3"/>
  <c r="D189" i="3" s="1"/>
  <c r="I147" i="3"/>
  <c r="I148" i="3" s="1"/>
  <c r="I164" i="3"/>
  <c r="I165" i="3" s="1"/>
  <c r="J147" i="3"/>
  <c r="J148" i="3" s="1"/>
  <c r="J164" i="3"/>
  <c r="J165" i="3" s="1"/>
  <c r="J103" i="3"/>
  <c r="J104" i="3" s="1"/>
  <c r="K147" i="3"/>
  <c r="K148" i="3" s="1"/>
  <c r="K164" i="3"/>
  <c r="K165" i="3" s="1"/>
  <c r="K103" i="3"/>
  <c r="K104" i="3" s="1"/>
  <c r="D164" i="3"/>
  <c r="D165" i="3" s="1"/>
  <c r="D147" i="3"/>
  <c r="D148" i="3" s="1"/>
  <c r="E164" i="3"/>
  <c r="E165" i="3" s="1"/>
  <c r="E147" i="3"/>
  <c r="E148" i="3" s="1"/>
  <c r="F164" i="3"/>
  <c r="F165" i="3" s="1"/>
  <c r="F147" i="3"/>
  <c r="F148" i="3" s="1"/>
  <c r="G147" i="3"/>
  <c r="G148" i="3" s="1"/>
  <c r="G164" i="3"/>
  <c r="G165" i="3" s="1"/>
  <c r="H164" i="3"/>
  <c r="H165" i="3" s="1"/>
  <c r="H147" i="3"/>
  <c r="H148" i="3" s="1"/>
  <c r="D96" i="3"/>
  <c r="D97" i="3" s="1"/>
  <c r="D123" i="3"/>
  <c r="D124" i="3" s="1"/>
  <c r="D51" i="3"/>
  <c r="D52" i="3" s="1"/>
  <c r="D103" i="3"/>
  <c r="D104" i="3" s="1"/>
  <c r="E96" i="3"/>
  <c r="E97" i="3" s="1"/>
  <c r="E123" i="3"/>
  <c r="E124" i="3" s="1"/>
  <c r="E51" i="3"/>
  <c r="E52" i="3" s="1"/>
  <c r="E103" i="3"/>
  <c r="E104" i="3" s="1"/>
  <c r="J123" i="3"/>
  <c r="J124" i="3" s="1"/>
  <c r="J96" i="3"/>
  <c r="J97" i="3" s="1"/>
  <c r="J51" i="3"/>
  <c r="J52" i="3" s="1"/>
  <c r="K123" i="3"/>
  <c r="K124" i="3" s="1"/>
  <c r="K96" i="3"/>
  <c r="K97" i="3" s="1"/>
  <c r="K51" i="3"/>
  <c r="K52" i="3" s="1"/>
  <c r="F123" i="3"/>
  <c r="F124" i="3" s="1"/>
  <c r="F96" i="3"/>
  <c r="F97" i="3" s="1"/>
  <c r="F51" i="3"/>
  <c r="F52" i="3" s="1"/>
  <c r="G96" i="3"/>
  <c r="G97" i="3" s="1"/>
  <c r="G123" i="3"/>
  <c r="G124" i="3" s="1"/>
  <c r="G51" i="3"/>
  <c r="G52" i="3" s="1"/>
  <c r="G103" i="3"/>
  <c r="G104" i="3" s="1"/>
  <c r="F103" i="3"/>
  <c r="F104" i="3" s="1"/>
  <c r="H96" i="3"/>
  <c r="H97" i="3" s="1"/>
  <c r="H123" i="3"/>
  <c r="H124" i="3" s="1"/>
  <c r="H51" i="3"/>
  <c r="H52" i="3" s="1"/>
  <c r="H103" i="3"/>
  <c r="H104" i="3" s="1"/>
  <c r="I96" i="3"/>
  <c r="I97" i="3" s="1"/>
  <c r="I123" i="3"/>
  <c r="I124" i="3" s="1"/>
  <c r="I51" i="3"/>
  <c r="I52" i="3" s="1"/>
  <c r="I103" i="3"/>
  <c r="I104" i="3" s="1"/>
  <c r="F44" i="3"/>
  <c r="F45" i="3" s="1"/>
  <c r="H44" i="3"/>
  <c r="H45" i="3" s="1"/>
  <c r="D23" i="3"/>
  <c r="D24" i="3" s="1"/>
  <c r="D44" i="3"/>
  <c r="D45" i="3" s="1"/>
  <c r="I23" i="3"/>
  <c r="I24" i="3" s="1"/>
  <c r="I44" i="3"/>
  <c r="J23" i="3"/>
  <c r="J24" i="3" s="1"/>
  <c r="J44" i="3"/>
  <c r="J45" i="3" s="1"/>
  <c r="E23" i="3"/>
  <c r="E24" i="3" s="1"/>
  <c r="E44" i="3"/>
  <c r="E45" i="3" s="1"/>
  <c r="G44" i="3"/>
  <c r="G45" i="3" s="1"/>
  <c r="K23" i="3"/>
  <c r="K24" i="3" s="1"/>
  <c r="K44" i="3"/>
  <c r="K45" i="3" s="1"/>
  <c r="F23" i="3"/>
  <c r="F24" i="3" s="1"/>
  <c r="G23" i="3"/>
  <c r="G24" i="3" s="1"/>
  <c r="H23" i="3"/>
  <c r="H24" i="3" s="1"/>
  <c r="G113" i="3"/>
  <c r="G114" i="3" s="1"/>
  <c r="G115" i="3" s="1"/>
  <c r="F157" i="3"/>
  <c r="F158" i="3" s="1"/>
  <c r="G157" i="3"/>
  <c r="G158" i="3" s="1"/>
  <c r="H157" i="3"/>
  <c r="H158" i="3" s="1"/>
  <c r="D157" i="3"/>
  <c r="D158" i="3" s="1"/>
  <c r="I157" i="3"/>
  <c r="I158" i="3" s="1"/>
  <c r="J157" i="3"/>
  <c r="J158" i="3" s="1"/>
  <c r="J159" i="3" s="1"/>
  <c r="I139" i="3"/>
  <c r="I140" i="3" s="1"/>
  <c r="I141" i="3" s="1"/>
  <c r="H139" i="3"/>
  <c r="H140" i="3" s="1"/>
  <c r="H141" i="3" s="1"/>
  <c r="K157" i="3"/>
  <c r="K158" i="3" s="1"/>
  <c r="E157" i="3"/>
  <c r="E158" i="3" s="1"/>
  <c r="E159" i="3" s="1"/>
  <c r="K139" i="3"/>
  <c r="K140" i="3" s="1"/>
  <c r="K141" i="3" s="1"/>
  <c r="J139" i="3"/>
  <c r="J140" i="3" s="1"/>
  <c r="J141" i="3" s="1"/>
  <c r="D139" i="3"/>
  <c r="D140" i="3" s="1"/>
  <c r="D141" i="3" s="1"/>
  <c r="D113" i="3"/>
  <c r="D114" i="3" s="1"/>
  <c r="D115" i="3" s="1"/>
  <c r="E139" i="3"/>
  <c r="E140" i="3" s="1"/>
  <c r="E141" i="3" s="1"/>
  <c r="F139" i="3"/>
  <c r="F140" i="3" s="1"/>
  <c r="F141" i="3" s="1"/>
  <c r="G139" i="3"/>
  <c r="G140" i="3" s="1"/>
  <c r="G141" i="3" s="1"/>
  <c r="H113" i="3"/>
  <c r="H114" i="3" s="1"/>
  <c r="H115" i="3" s="1"/>
  <c r="I113" i="3"/>
  <c r="I114" i="3" s="1"/>
  <c r="I115" i="3" s="1"/>
  <c r="J113" i="3"/>
  <c r="J114" i="3" s="1"/>
  <c r="J115" i="3" s="1"/>
  <c r="K113" i="3"/>
  <c r="K114" i="3" s="1"/>
  <c r="K115" i="3" s="1"/>
  <c r="E113" i="3"/>
  <c r="E114" i="3" s="1"/>
  <c r="E115" i="3" s="1"/>
  <c r="F113" i="3"/>
  <c r="F114" i="3" s="1"/>
  <c r="F115" i="3" s="1"/>
  <c r="K93" i="3"/>
  <c r="J93" i="3"/>
  <c r="I93" i="3"/>
  <c r="H93" i="3"/>
  <c r="H94" i="3" s="1"/>
  <c r="H95" i="3" s="1"/>
  <c r="G93" i="3"/>
  <c r="F93" i="3"/>
  <c r="E93" i="3"/>
  <c r="D93" i="3"/>
  <c r="K86" i="3"/>
  <c r="K87" i="3" s="1"/>
  <c r="K88" i="3" s="1"/>
  <c r="J86" i="3"/>
  <c r="J87" i="3" s="1"/>
  <c r="J88" i="3" s="1"/>
  <c r="I86" i="3"/>
  <c r="I87" i="3" s="1"/>
  <c r="I88" i="3" s="1"/>
  <c r="H86" i="3"/>
  <c r="H87" i="3" s="1"/>
  <c r="H88" i="3" s="1"/>
  <c r="G86" i="3"/>
  <c r="G87" i="3" s="1"/>
  <c r="G88" i="3" s="1"/>
  <c r="F86" i="3"/>
  <c r="F87" i="3" s="1"/>
  <c r="F88" i="3" s="1"/>
  <c r="E86" i="3"/>
  <c r="E87" i="3" s="1"/>
  <c r="E88" i="3" s="1"/>
  <c r="D86" i="3"/>
  <c r="D87" i="3" s="1"/>
  <c r="D88" i="3" s="1"/>
  <c r="E79" i="3"/>
  <c r="D78" i="3"/>
  <c r="D75" i="3"/>
  <c r="D67" i="3"/>
  <c r="D64" i="3"/>
  <c r="K58" i="3"/>
  <c r="K59" i="3" s="1"/>
  <c r="J58" i="3"/>
  <c r="J59" i="3" s="1"/>
  <c r="I58" i="3"/>
  <c r="I59" i="3" s="1"/>
  <c r="H58" i="3"/>
  <c r="H59" i="3" s="1"/>
  <c r="G58" i="3"/>
  <c r="G59" i="3" s="1"/>
  <c r="F58" i="3"/>
  <c r="F59" i="3" s="1"/>
  <c r="E58" i="3"/>
  <c r="E59" i="3" s="1"/>
  <c r="D57" i="3"/>
  <c r="D58" i="3" s="1"/>
  <c r="D59" i="3" s="1"/>
  <c r="D37" i="3"/>
  <c r="D41" i="3" s="1"/>
  <c r="K94" i="3" l="1"/>
  <c r="K95" i="3" s="1"/>
  <c r="I159" i="3"/>
  <c r="H159" i="3"/>
  <c r="F159" i="3"/>
  <c r="G159" i="3"/>
  <c r="K159" i="3"/>
  <c r="D159" i="3"/>
  <c r="D42" i="3"/>
  <c r="D43" i="3" s="1"/>
  <c r="G121" i="3"/>
  <c r="G122" i="3" s="1"/>
  <c r="K121" i="3"/>
  <c r="K122" i="3" s="1"/>
  <c r="E121" i="3"/>
  <c r="E122" i="3" s="1"/>
  <c r="E94" i="3"/>
  <c r="E95" i="3" s="1"/>
  <c r="H42" i="3"/>
  <c r="H43" i="3" s="1"/>
  <c r="F42" i="3"/>
  <c r="F43" i="3" s="1"/>
  <c r="D94" i="3"/>
  <c r="D95" i="3" s="1"/>
  <c r="F121" i="3"/>
  <c r="F122" i="3" s="1"/>
  <c r="G94" i="3"/>
  <c r="G95" i="3" s="1"/>
  <c r="J121" i="3"/>
  <c r="J122" i="3" s="1"/>
  <c r="I121" i="3"/>
  <c r="I122" i="3" s="1"/>
  <c r="G42" i="3"/>
  <c r="G43" i="3" s="1"/>
  <c r="K79" i="3"/>
  <c r="F69" i="3"/>
  <c r="F70" i="3" s="1"/>
  <c r="F79" i="3"/>
  <c r="F94" i="3"/>
  <c r="F95" i="3" s="1"/>
  <c r="H121" i="3"/>
  <c r="H122" i="3" s="1"/>
  <c r="K69" i="3"/>
  <c r="K70" i="3" s="1"/>
  <c r="D79" i="3"/>
  <c r="D68" i="3"/>
  <c r="D69" i="3" s="1"/>
  <c r="D70" i="3" s="1"/>
  <c r="E69" i="3"/>
  <c r="E70" i="3" s="1"/>
  <c r="G69" i="3"/>
  <c r="G70" i="3" s="1"/>
  <c r="G79" i="3"/>
  <c r="H69" i="3"/>
  <c r="H70" i="3" s="1"/>
  <c r="H79" i="3"/>
  <c r="I69" i="3"/>
  <c r="I70" i="3" s="1"/>
  <c r="I79" i="3"/>
  <c r="I94" i="3"/>
  <c r="I95" i="3" s="1"/>
  <c r="D121" i="3"/>
  <c r="D122" i="3" s="1"/>
  <c r="J69" i="3"/>
  <c r="J70" i="3" s="1"/>
  <c r="J79" i="3"/>
  <c r="J94" i="3"/>
  <c r="J95" i="3" s="1"/>
  <c r="I42" i="3"/>
  <c r="I43" i="3" s="1"/>
  <c r="I45" i="3"/>
  <c r="E42" i="3"/>
  <c r="E43" i="3" s="1"/>
  <c r="K42" i="3"/>
  <c r="K43" i="3" s="1"/>
  <c r="J42" i="3"/>
  <c r="J43" i="3" s="1"/>
  <c r="K29" i="3"/>
  <c r="J29" i="3"/>
  <c r="I29" i="3"/>
  <c r="H29" i="3"/>
  <c r="G29" i="3"/>
  <c r="F29" i="3"/>
  <c r="E29" i="3"/>
  <c r="D29" i="3"/>
  <c r="K20" i="3"/>
  <c r="K21" i="3" s="1"/>
  <c r="K22" i="3" s="1"/>
  <c r="J20" i="3"/>
  <c r="J21" i="3" s="1"/>
  <c r="J22" i="3" s="1"/>
  <c r="I20" i="3"/>
  <c r="I21" i="3" s="1"/>
  <c r="I22" i="3" s="1"/>
  <c r="H20" i="3"/>
  <c r="H21" i="3" s="1"/>
  <c r="H22" i="3" s="1"/>
  <c r="G20" i="3"/>
  <c r="G21" i="3" s="1"/>
  <c r="G22" i="3" s="1"/>
  <c r="F20" i="3"/>
  <c r="F21" i="3" s="1"/>
  <c r="F22" i="3" s="1"/>
  <c r="E20" i="3"/>
  <c r="E21" i="3" s="1"/>
  <c r="E22" i="3" s="1"/>
  <c r="D20" i="3"/>
  <c r="D21" i="3" s="1"/>
  <c r="D22" i="3" s="1"/>
  <c r="E30" i="3" l="1"/>
  <c r="E31" i="3" s="1"/>
  <c r="K30" i="3"/>
  <c r="K31" i="3" s="1"/>
  <c r="D30" i="3"/>
  <c r="D31" i="3" s="1"/>
  <c r="F30" i="3"/>
  <c r="F31" i="3" s="1"/>
  <c r="G30" i="3"/>
  <c r="G31" i="3" s="1"/>
  <c r="H30" i="3"/>
  <c r="H31" i="3" s="1"/>
  <c r="I30" i="3"/>
  <c r="I31" i="3" s="1"/>
  <c r="J30" i="3"/>
  <c r="J31" i="3" s="1"/>
  <c r="D179" i="3"/>
  <c r="D193" i="3" s="1"/>
  <c r="D194" i="3" s="1"/>
  <c r="D196" i="3" s="1"/>
  <c r="F179" i="3"/>
  <c r="F193" i="3" s="1"/>
  <c r="F194" i="3" s="1"/>
  <c r="E179" i="3"/>
  <c r="E193" i="3" s="1"/>
  <c r="E194" i="3" s="1"/>
  <c r="G179" i="3"/>
  <c r="G193" i="3" s="1"/>
  <c r="G194" i="3" s="1"/>
  <c r="H179" i="3"/>
  <c r="H193" i="3" s="1"/>
  <c r="H194" i="3" s="1"/>
  <c r="H196" i="3" s="1"/>
  <c r="J179" i="3"/>
  <c r="J193" i="3" s="1"/>
  <c r="J194" i="3" s="1"/>
  <c r="J196" i="3" s="1"/>
  <c r="I179" i="3"/>
  <c r="I193" i="3" s="1"/>
  <c r="I194" i="3" s="1"/>
  <c r="I196" i="3" s="1"/>
  <c r="K179" i="3"/>
  <c r="K193" i="3" s="1"/>
  <c r="K194" i="3" s="1"/>
  <c r="K196" i="3" s="1"/>
  <c r="G80" i="3"/>
  <c r="G81" i="3" s="1"/>
  <c r="I80" i="3"/>
  <c r="I81" i="3" s="1"/>
  <c r="K80" i="3"/>
  <c r="K81" i="3" s="1"/>
  <c r="H80" i="3"/>
  <c r="H81" i="3" s="1"/>
  <c r="E80" i="3"/>
  <c r="E81" i="3" s="1"/>
  <c r="D80" i="3"/>
  <c r="D81" i="3" s="1"/>
  <c r="J80" i="3"/>
  <c r="J81" i="3" s="1"/>
  <c r="F80" i="3"/>
  <c r="F81" i="3" s="1"/>
  <c r="G196" i="3" l="1"/>
  <c r="E196" i="3"/>
  <c r="F196" i="3"/>
</calcChain>
</file>

<file path=xl/comments1.xml><?xml version="1.0" encoding="utf-8"?>
<comments xmlns="http://schemas.openxmlformats.org/spreadsheetml/2006/main">
  <authors>
    <author>Danilo Miziara Pereira</author>
  </authors>
  <commentList>
    <comment ref="B11" authorId="0" shapeId="0">
      <text>
        <r>
          <rPr>
            <b/>
            <sz val="9"/>
            <color indexed="81"/>
            <rFont val="Segoe UI"/>
            <family val="2"/>
          </rPr>
          <t>16295:</t>
        </r>
        <r>
          <rPr>
            <sz val="9"/>
            <color indexed="81"/>
            <rFont val="Segoe UI"/>
            <family val="2"/>
          </rPr>
          <t xml:space="preserve">
(captação, estorno, eventos tênis e Pinheiros Pontua)</t>
        </r>
      </text>
    </comment>
  </commentList>
</comments>
</file>

<file path=xl/sharedStrings.xml><?xml version="1.0" encoding="utf-8"?>
<sst xmlns="http://schemas.openxmlformats.org/spreadsheetml/2006/main" count="303" uniqueCount="87">
  <si>
    <t>Dir. Área Patrimônio</t>
  </si>
  <si>
    <t>Patrimônio</t>
  </si>
  <si>
    <t>Dir. Área Restaurantes</t>
  </si>
  <si>
    <t>Restaurantes e Lanchonetes</t>
  </si>
  <si>
    <t>Tecnologia</t>
  </si>
  <si>
    <t>Assessoria de Planejamento</t>
  </si>
  <si>
    <t>Dir. Área Jurídica</t>
  </si>
  <si>
    <t>Jurídica</t>
  </si>
  <si>
    <t>Dir. Área Administrativa</t>
  </si>
  <si>
    <t>Recursos Humanos</t>
  </si>
  <si>
    <t>Despesa</t>
  </si>
  <si>
    <t>Receita</t>
  </si>
  <si>
    <t>2020-Orç</t>
  </si>
  <si>
    <t>2021-Orç</t>
  </si>
  <si>
    <t>2021-Proj</t>
  </si>
  <si>
    <t>2022-Orç</t>
  </si>
  <si>
    <t>Governança e Compliance</t>
  </si>
  <si>
    <t>Planejamento</t>
  </si>
  <si>
    <t>Conselhos</t>
  </si>
  <si>
    <t>Conselho Deliberativo</t>
  </si>
  <si>
    <t>Conselho Fiscal</t>
  </si>
  <si>
    <t>Médica</t>
  </si>
  <si>
    <t>Dir. Área Comunicação</t>
  </si>
  <si>
    <t>Comunicação</t>
  </si>
  <si>
    <t>Dir. Área Cultural</t>
  </si>
  <si>
    <t>Cultural</t>
  </si>
  <si>
    <t>Dir. Área Esportes Aquáticos e Individuais</t>
  </si>
  <si>
    <t>Esportes Aquáticos</t>
  </si>
  <si>
    <t>Esportes Individuais</t>
  </si>
  <si>
    <t>Dir. Área Esportes Coletivos</t>
  </si>
  <si>
    <t>Esportes Coletivos</t>
  </si>
  <si>
    <t>Dir. Área Financeira</t>
  </si>
  <si>
    <t>Financeira</t>
  </si>
  <si>
    <t>Dir. Área Marketing</t>
  </si>
  <si>
    <t>Marketing</t>
  </si>
  <si>
    <t>Dir. Área Operações</t>
  </si>
  <si>
    <t>Segurança</t>
  </si>
  <si>
    <t>Serviços Gerais</t>
  </si>
  <si>
    <t>Dir. Área Relações Esportivas</t>
  </si>
  <si>
    <t>Adm. Relações Esportivas</t>
  </si>
  <si>
    <t>Esportes Futebol</t>
  </si>
  <si>
    <t>Esportes Raquetes</t>
  </si>
  <si>
    <t>Relações Esportivas</t>
  </si>
  <si>
    <t>Dir. Área Relações Sociais</t>
  </si>
  <si>
    <t>Relações Sociais</t>
  </si>
  <si>
    <t>Dir. Área Social</t>
  </si>
  <si>
    <t>Social</t>
  </si>
  <si>
    <t>Veteranos</t>
  </si>
  <si>
    <t>Dir. Área Suprimentos</t>
  </si>
  <si>
    <t>Suprimentos</t>
  </si>
  <si>
    <t>Presidência</t>
  </si>
  <si>
    <t>Centro Pró Memória Hans Nobiling</t>
  </si>
  <si>
    <t>Custeio Geral</t>
  </si>
  <si>
    <t>Diversidade e Inclusão</t>
  </si>
  <si>
    <t>Ouvidoria e Central de Atendimento</t>
  </si>
  <si>
    <t>TEC-Utilidades</t>
  </si>
  <si>
    <t>RHU-Desligamentos</t>
  </si>
  <si>
    <t>JUR-Contingências</t>
  </si>
  <si>
    <t>PAT-Utilidades</t>
  </si>
  <si>
    <t>RES-Utilidades</t>
  </si>
  <si>
    <t>RES-Desligamentos</t>
  </si>
  <si>
    <t>Contribuições</t>
  </si>
  <si>
    <t>Extraordinárias</t>
  </si>
  <si>
    <t>Patrimoniais</t>
  </si>
  <si>
    <t>Patrocínios</t>
  </si>
  <si>
    <t>Resultado</t>
  </si>
  <si>
    <t>TOTAL CUSTEIO</t>
  </si>
  <si>
    <t>Adm. Esportes</t>
  </si>
  <si>
    <t>DAS</t>
  </si>
  <si>
    <t>Ética Disciplinar</t>
  </si>
  <si>
    <t>Eventuais - 3155</t>
  </si>
  <si>
    <t>Fundos, provisões e desligamento associados</t>
  </si>
  <si>
    <t>% subsídio</t>
  </si>
  <si>
    <t>Ref. mensalidade</t>
  </si>
  <si>
    <t>RHU-Covid19</t>
  </si>
  <si>
    <t>Mensalidade (individual adulto)</t>
  </si>
  <si>
    <t>TOTAL</t>
  </si>
  <si>
    <t>Eventuais - MKT</t>
  </si>
  <si>
    <t>TOTAL ORÇ. CORRENTE</t>
  </si>
  <si>
    <t>Resultado do exercício</t>
  </si>
  <si>
    <t>Ref. mensalidade (em R$)</t>
  </si>
  <si>
    <t>Selecionar</t>
  </si>
  <si>
    <t>Gráfico por Diretoria de Área</t>
  </si>
  <si>
    <t>PO 2022</t>
  </si>
  <si>
    <t>PO 2021</t>
  </si>
  <si>
    <t>PO 2020</t>
  </si>
  <si>
    <t>ANÁLISE GERENCIAL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</si>
</sst>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_ ;[Red]\-#,##0\ 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rgb="FF0070C0"/>
      <name val="Arial"/>
      <family val="2"/>
    </font>
    <font>
      <sz val="10"/>
      <color rgb="FF0070C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3" fillId="2" borderId="1" xfId="0" applyFont="1" applyFill="1" applyBorder="1" applyAlignment="1">
      <alignment horizontal="center"/>
    </xf>
    <xf numFmtId="0" fontId="2" fillId="0" borderId="2" xfId="0" applyFont="1" applyBorder="1"/>
    <xf numFmtId="165" fontId="2" fillId="0" borderId="2" xfId="0" applyNumberFormat="1" applyFont="1" applyBorder="1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Alignment="1">
      <alignment horizontal="center"/>
    </xf>
    <xf numFmtId="0" fontId="4" fillId="4" borderId="2" xfId="0" applyFont="1" applyFill="1" applyBorder="1"/>
    <xf numFmtId="165" fontId="4" fillId="4" borderId="2" xfId="0" applyNumberFormat="1" applyFont="1" applyFill="1" applyBorder="1"/>
    <xf numFmtId="0" fontId="3" fillId="6" borderId="0" xfId="0" applyFont="1" applyFill="1"/>
    <xf numFmtId="165" fontId="3" fillId="6" borderId="0" xfId="0" applyNumberFormat="1" applyFont="1" applyFill="1"/>
    <xf numFmtId="0" fontId="3" fillId="7" borderId="0" xfId="0" applyFont="1" applyFill="1"/>
    <xf numFmtId="0" fontId="3" fillId="8" borderId="0" xfId="0" applyFont="1" applyFill="1"/>
    <xf numFmtId="165" fontId="3" fillId="8" borderId="0" xfId="0" applyNumberFormat="1" applyFont="1" applyFill="1"/>
    <xf numFmtId="0" fontId="3" fillId="9" borderId="0" xfId="0" applyFont="1" applyFill="1"/>
    <xf numFmtId="165" fontId="3" fillId="9" borderId="0" xfId="0" applyNumberFormat="1" applyFont="1" applyFill="1"/>
    <xf numFmtId="166" fontId="2" fillId="5" borderId="0" xfId="1" applyNumberFormat="1" applyFont="1" applyFill="1"/>
    <xf numFmtId="164" fontId="2" fillId="5" borderId="0" xfId="0" applyNumberFormat="1" applyFont="1" applyFill="1"/>
    <xf numFmtId="0" fontId="2" fillId="7" borderId="0" xfId="0" applyFont="1" applyFill="1"/>
    <xf numFmtId="0" fontId="2" fillId="6" borderId="0" xfId="0" applyFont="1" applyFill="1"/>
    <xf numFmtId="0" fontId="2" fillId="5" borderId="0" xfId="0" applyFont="1" applyFill="1"/>
    <xf numFmtId="0" fontId="4" fillId="4" borderId="0" xfId="0" applyFont="1" applyFill="1"/>
    <xf numFmtId="166" fontId="4" fillId="4" borderId="0" xfId="1" applyNumberFormat="1" applyFont="1" applyFill="1"/>
    <xf numFmtId="0" fontId="5" fillId="3" borderId="0" xfId="0" applyFont="1" applyFill="1"/>
    <xf numFmtId="164" fontId="4" fillId="3" borderId="0" xfId="0" applyNumberFormat="1" applyFont="1" applyFill="1"/>
    <xf numFmtId="0" fontId="4" fillId="4" borderId="0" xfId="0" applyFont="1" applyFill="1" applyBorder="1"/>
    <xf numFmtId="165" fontId="4" fillId="4" borderId="0" xfId="0" applyNumberFormat="1" applyFont="1" applyFill="1" applyBorder="1"/>
    <xf numFmtId="165" fontId="2" fillId="6" borderId="0" xfId="0" applyNumberFormat="1" applyFont="1" applyFill="1"/>
    <xf numFmtId="166" fontId="2" fillId="11" borderId="0" xfId="1" applyNumberFormat="1" applyFont="1" applyFill="1"/>
    <xf numFmtId="166" fontId="3" fillId="7" borderId="0" xfId="0" applyNumberFormat="1" applyFont="1" applyFill="1"/>
    <xf numFmtId="2" fontId="2" fillId="7" borderId="0" xfId="0" applyNumberFormat="1" applyFont="1" applyFill="1" applyAlignment="1">
      <alignment horizontal="center"/>
    </xf>
    <xf numFmtId="0" fontId="2" fillId="10" borderId="0" xfId="0" applyFont="1" applyFill="1"/>
    <xf numFmtId="165" fontId="2" fillId="10" borderId="0" xfId="0" applyNumberFormat="1" applyFont="1" applyFill="1"/>
    <xf numFmtId="166" fontId="3" fillId="8" borderId="0" xfId="1" applyNumberFormat="1" applyFont="1" applyFill="1"/>
    <xf numFmtId="2" fontId="2" fillId="5" borderId="0" xfId="1" applyNumberFormat="1" applyFont="1" applyFill="1"/>
    <xf numFmtId="2" fontId="2" fillId="8" borderId="0" xfId="1" applyNumberFormat="1" applyFont="1" applyFill="1"/>
    <xf numFmtId="2" fontId="2" fillId="11" borderId="0" xfId="1" applyNumberFormat="1" applyFont="1" applyFill="1"/>
    <xf numFmtId="0" fontId="3" fillId="0" borderId="0" xfId="0" applyFont="1" applyFill="1"/>
    <xf numFmtId="0" fontId="2" fillId="0" borderId="0" xfId="0" applyFont="1" applyFill="1"/>
    <xf numFmtId="0" fontId="8" fillId="12" borderId="0" xfId="0" applyFont="1" applyFill="1"/>
    <xf numFmtId="0" fontId="2" fillId="0" borderId="4" xfId="0" applyFont="1" applyFill="1" applyBorder="1"/>
    <xf numFmtId="0" fontId="2" fillId="0" borderId="3" xfId="0" applyFont="1" applyFill="1" applyBorder="1" applyAlignment="1">
      <alignment horizontal="center"/>
    </xf>
    <xf numFmtId="166" fontId="2" fillId="0" borderId="3" xfId="1" applyNumberFormat="1" applyFont="1" applyFill="1" applyBorder="1" applyAlignment="1">
      <alignment horizontal="center"/>
    </xf>
    <xf numFmtId="2" fontId="2" fillId="0" borderId="3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mruColors>
      <color rgb="FF00FF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'Resumo geral e gráfico'!$B$30</c:f>
              <c:strCache>
                <c:ptCount val="1"/>
                <c:pt idx="0">
                  <c:v>Ref. mensalidade (em R$)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'Resumo geral e gráfico'!$C$54:$J$54</c:f>
              <c:strCach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PO 2020</c:v>
                </c:pt>
                <c:pt idx="5">
                  <c:v>PO 2021</c:v>
                </c:pt>
                <c:pt idx="6">
                  <c:v>2021-Proj</c:v>
                </c:pt>
                <c:pt idx="7">
                  <c:v>PO 2022</c:v>
                </c:pt>
              </c:strCache>
            </c:strRef>
          </c:cat>
          <c:val>
            <c:numRef>
              <c:f>'Resumo geral e gráfico'!$C$56:$J$56</c:f>
              <c:numCache>
                <c:formatCode>0.00</c:formatCode>
                <c:ptCount val="8"/>
                <c:pt idx="0">
                  <c:v>23.382342917798844</c:v>
                </c:pt>
                <c:pt idx="1">
                  <c:v>20.802852955665678</c:v>
                </c:pt>
                <c:pt idx="2">
                  <c:v>21.704514411341801</c:v>
                </c:pt>
                <c:pt idx="3">
                  <c:v>45.081923952439752</c:v>
                </c:pt>
                <c:pt idx="4">
                  <c:v>21.540625686388562</c:v>
                </c:pt>
                <c:pt idx="5">
                  <c:v>15.609545026706391</c:v>
                </c:pt>
                <c:pt idx="6">
                  <c:v>25.423201434710965</c:v>
                </c:pt>
                <c:pt idx="7">
                  <c:v>14.347632160520574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0F-467C-89FA-8137210BB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45980032"/>
        <c:axId val="634959600"/>
      </c:barChart>
      <c:lineChart>
        <c:grouping val="standard"/>
        <c:varyColors val="0"/>
        <c:ser>
          <c:idx val="0"/>
          <c:order val="0"/>
          <c:tx>
            <c:strRef>
              <c:f>'Resumo geral e gráfico'!$B$6</c:f>
              <c:strCache>
                <c:ptCount val="1"/>
                <c:pt idx="0">
                  <c:v>% subsídio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'Resumo geral e gráfico'!$C$54:$J$54</c:f>
              <c:strCach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PO 2020</c:v>
                </c:pt>
                <c:pt idx="5">
                  <c:v>PO 2021</c:v>
                </c:pt>
                <c:pt idx="6">
                  <c:v>2021-Proj</c:v>
                </c:pt>
                <c:pt idx="7">
                  <c:v>PO 2022</c:v>
                </c:pt>
              </c:strCache>
            </c:strRef>
          </c:cat>
          <c:val>
            <c:numRef>
              <c:f>'Resumo geral e gráfico'!$C$55:$J$55</c:f>
              <c:numCache>
                <c:formatCode>0.0%</c:formatCode>
                <c:ptCount val="8"/>
                <c:pt idx="0">
                  <c:v>5.7169542586305244E-2</c:v>
                </c:pt>
                <c:pt idx="1">
                  <c:v>4.9530602275394471E-2</c:v>
                </c:pt>
                <c:pt idx="2">
                  <c:v>4.9667081032818763E-2</c:v>
                </c:pt>
                <c:pt idx="3">
                  <c:v>9.9190151710538507E-2</c:v>
                </c:pt>
                <c:pt idx="4">
                  <c:v>4.7394115921647002E-2</c:v>
                </c:pt>
                <c:pt idx="5">
                  <c:v>3.4344433502104268E-2</c:v>
                </c:pt>
                <c:pt idx="6">
                  <c:v>5.5936636820046126E-2</c:v>
                </c:pt>
                <c:pt idx="7">
                  <c:v>2.8868475172073589E-2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0F-467C-89FA-8137210BB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960432"/>
        <c:axId val="634957520"/>
      </c:lineChart>
      <c:catAx>
        <c:axId val="63496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634957520"/>
        <c:crosses val="autoZero"/>
        <c:auto val="1"/>
        <c:lblAlgn val="ctr"/>
        <c:lblOffset val="100"/>
        <c:noMultiLvlLbl val="0"/>
      </c:catAx>
      <c:valAx>
        <c:axId val="6349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634960432"/>
        <c:crosses val="autoZero"/>
        <c:crossBetween val="between"/>
      </c:valAx>
      <c:valAx>
        <c:axId val="634959600"/>
        <c:scaling>
          <c:orientation val="minMax"/>
        </c:scaling>
        <c:delete val="0"/>
        <c:axPos val="r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2045980032"/>
        <c:crosses val="max"/>
        <c:crossBetween val="between"/>
      </c:valAx>
      <c:catAx>
        <c:axId val="20459800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349596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2686049</xdr:colOff>
      <xdr:row>57</xdr:row>
      <xdr:rowOff>19050</xdr:rowOff>
    </xdr:from>
    <xdr:to>
      <xdr:col>9</xdr:col>
      <xdr:colOff>923924</xdr:colOff>
      <xdr:row>75</xdr:row>
      <xdr:rowOff>95250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6"/>
  <sheetViews>
    <sheetView showGridLines="0" tabSelected="1" topLeftCell="A52" zoomScaleNormal="100" workbookViewId="0">
      <selection activeCell="B55" sqref="B55"/>
    </sheetView>
  </sheetViews>
  <sheetFormatPr defaultRowHeight="12.75" x14ac:dyDescent="0.2"/>
  <cols>
    <col min="1" max="1" width="2.7109375" style="1" customWidth="1"/>
    <col min="2" max="2" width="40.7109375" style="1" customWidth="1"/>
    <col min="3" max="10" width="14.7109375" style="1" customWidth="1"/>
    <col min="11" max="16384" width="9.140625" style="1"/>
  </cols>
  <sheetData>
    <row r="1" spans="2:10" x14ac:dyDescent="0.2">
      <c r="C1" s="2"/>
      <c r="D1" s="2"/>
      <c r="E1" s="2"/>
      <c r="F1" s="2"/>
      <c r="G1" s="2"/>
      <c r="H1" s="2"/>
      <c r="I1" s="2"/>
      <c r="J1" s="2"/>
    </row>
    <row r="2" spans="2:10" x14ac:dyDescent="0.2">
      <c r="C2" s="3">
        <v>2017</v>
      </c>
      <c r="D2" s="3">
        <v>2018</v>
      </c>
      <c r="E2" s="3">
        <v>2019</v>
      </c>
      <c r="F2" s="3">
        <v>2020</v>
      </c>
      <c r="G2" s="3" t="s">
        <v>12</v>
      </c>
      <c r="H2" s="3" t="s">
        <v>13</v>
      </c>
      <c r="I2" s="3" t="s">
        <v>14</v>
      </c>
      <c r="J2" s="3" t="s">
        <v>15</v>
      </c>
    </row>
    <row r="4" spans="2:10" x14ac:dyDescent="0.2">
      <c r="B4" s="11" t="s">
        <v>52</v>
      </c>
      <c r="C4" s="12">
        <f>Detalhado!D13</f>
        <v>130348218</v>
      </c>
      <c r="D4" s="12">
        <f>Detalhado!E13</f>
        <v>136647339</v>
      </c>
      <c r="E4" s="12">
        <f>Detalhado!F13</f>
        <v>140844033</v>
      </c>
      <c r="F4" s="12">
        <f>Detalhado!G13</f>
        <v>139640932.10000002</v>
      </c>
      <c r="G4" s="12">
        <f>Detalhado!H13</f>
        <v>149710209</v>
      </c>
      <c r="H4" s="12">
        <f>Detalhado!I13</f>
        <v>144612576</v>
      </c>
      <c r="I4" s="12">
        <f>Detalhado!J13</f>
        <v>141106976.86075762</v>
      </c>
      <c r="J4" s="12">
        <f>Detalhado!K13</f>
        <v>158133423.84</v>
      </c>
    </row>
    <row r="6" spans="2:10" x14ac:dyDescent="0.2">
      <c r="B6" s="39" t="s">
        <v>72</v>
      </c>
    </row>
    <row r="7" spans="2:10" x14ac:dyDescent="0.2">
      <c r="B7" s="16" t="s">
        <v>5</v>
      </c>
      <c r="C7" s="18">
        <f>Detalhado!D21+Detalhado!D23</f>
        <v>5.8250761817089054E-2</v>
      </c>
      <c r="D7" s="18">
        <f>Detalhado!E21+Detalhado!E23</f>
        <v>4.6782791723445113E-2</v>
      </c>
      <c r="E7" s="18">
        <f>Detalhado!F21+Detalhado!F23</f>
        <v>4.5359081701388089E-2</v>
      </c>
      <c r="F7" s="18">
        <f>Detalhado!G21+Detalhado!G23</f>
        <v>4.5192583829795269E-2</v>
      </c>
      <c r="G7" s="18">
        <f>Detalhado!H21+Detalhado!H23</f>
        <v>5.6012432659151519E-2</v>
      </c>
      <c r="H7" s="18">
        <f>Detalhado!I21+Detalhado!I23</f>
        <v>5.0349466148780865E-2</v>
      </c>
      <c r="I7" s="18">
        <f>Detalhado!J21+Detalhado!J23</f>
        <v>4.4726464908845479E-2</v>
      </c>
      <c r="J7" s="18">
        <f>Detalhado!K21+Detalhado!K23</f>
        <v>5.6615085303271584E-2</v>
      </c>
    </row>
    <row r="8" spans="2:10" x14ac:dyDescent="0.2">
      <c r="B8" s="16" t="s">
        <v>18</v>
      </c>
      <c r="C8" s="18">
        <f>Detalhado!D30</f>
        <v>9.4706549804923299E-3</v>
      </c>
      <c r="D8" s="18">
        <f>Detalhado!E30</f>
        <v>1.0954395533454186E-2</v>
      </c>
      <c r="E8" s="18">
        <f>Detalhado!F30</f>
        <v>1.0020353506917826E-2</v>
      </c>
      <c r="F8" s="18">
        <f>Detalhado!G30</f>
        <v>9.1291072812883338E-3</v>
      </c>
      <c r="G8" s="18">
        <f>Detalhado!H30</f>
        <v>1.253258553663498E-2</v>
      </c>
      <c r="H8" s="18">
        <f>Detalhado!I30</f>
        <v>1.189122030438072E-2</v>
      </c>
      <c r="I8" s="18">
        <f>Detalhado!J30</f>
        <v>9.5718963234757894E-3</v>
      </c>
      <c r="J8" s="18">
        <f>Detalhado!K30</f>
        <v>1.3204804078059861E-2</v>
      </c>
    </row>
    <row r="9" spans="2:10" x14ac:dyDescent="0.2">
      <c r="B9" s="16" t="s">
        <v>8</v>
      </c>
      <c r="C9" s="18">
        <f>Detalhado!D42+Detalhado!D44</f>
        <v>7.6445747804546132E-2</v>
      </c>
      <c r="D9" s="18">
        <f>Detalhado!E42+Detalhado!E44</f>
        <v>7.3018765480680162E-2</v>
      </c>
      <c r="E9" s="18">
        <f>Detalhado!F42+Detalhado!F44</f>
        <v>9.5660282604943581E-2</v>
      </c>
      <c r="F9" s="18">
        <f>Detalhado!G42+Detalhado!G44</f>
        <v>0.10283630712029598</v>
      </c>
      <c r="G9" s="18">
        <f>Detalhado!H42+Detalhado!H44</f>
        <v>8.8623648905600025E-2</v>
      </c>
      <c r="H9" s="18">
        <f>Detalhado!I42+Detalhado!I44</f>
        <v>8.6580208625839011E-2</v>
      </c>
      <c r="I9" s="18">
        <f>Detalhado!J42+Detalhado!J44</f>
        <v>9.9389683639695095E-2</v>
      </c>
      <c r="J9" s="18">
        <f>Detalhado!K42+Detalhado!K44</f>
        <v>8.8190165819152969E-2</v>
      </c>
    </row>
    <row r="10" spans="2:10" x14ac:dyDescent="0.2">
      <c r="B10" s="16" t="s">
        <v>22</v>
      </c>
      <c r="C10" s="18">
        <f>Detalhado!D51</f>
        <v>1.8686914461692142E-2</v>
      </c>
      <c r="D10" s="18">
        <f>Detalhado!E51</f>
        <v>1.8342142762106769E-2</v>
      </c>
      <c r="E10" s="18">
        <f>Detalhado!F51</f>
        <v>1.8094121175868345E-2</v>
      </c>
      <c r="F10" s="18">
        <f>Detalhado!G51</f>
        <v>1.2854188259890594E-2</v>
      </c>
      <c r="G10" s="18">
        <f>Detalhado!H51</f>
        <v>1.8031929940061735E-2</v>
      </c>
      <c r="H10" s="18">
        <f>Detalhado!I51</f>
        <v>1.7911104771413517E-2</v>
      </c>
      <c r="I10" s="18">
        <f>Detalhado!J51</f>
        <v>1.3634844842469003E-2</v>
      </c>
      <c r="J10" s="18">
        <f>Detalhado!K51</f>
        <v>1.5674021973418113E-2</v>
      </c>
    </row>
    <row r="11" spans="2:10" x14ac:dyDescent="0.2">
      <c r="B11" s="16" t="s">
        <v>24</v>
      </c>
      <c r="C11" s="18">
        <f>Detalhado!D58</f>
        <v>1.5196502341136724E-2</v>
      </c>
      <c r="D11" s="18">
        <f>Detalhado!E58</f>
        <v>1.1116191585699301E-2</v>
      </c>
      <c r="E11" s="18">
        <f>Detalhado!F58</f>
        <v>1.0180708188042301E-2</v>
      </c>
      <c r="F11" s="18">
        <f>Detalhado!G58</f>
        <v>1.0766796650450024E-2</v>
      </c>
      <c r="G11" s="18">
        <f>Detalhado!H58</f>
        <v>1.0050203055958596E-2</v>
      </c>
      <c r="H11" s="18">
        <f>Detalhado!I58</f>
        <v>1.0494495305857769E-2</v>
      </c>
      <c r="I11" s="18">
        <f>Detalhado!J58</f>
        <v>1.3304838614077578E-2</v>
      </c>
      <c r="J11" s="18">
        <f>Detalhado!K58</f>
        <v>1.2668013322894243E-2</v>
      </c>
    </row>
    <row r="12" spans="2:10" x14ac:dyDescent="0.2">
      <c r="B12" s="16" t="s">
        <v>26</v>
      </c>
      <c r="C12" s="18">
        <f>Detalhado!D69</f>
        <v>8.8698949455526893E-2</v>
      </c>
      <c r="D12" s="18">
        <f>Detalhado!E69</f>
        <v>0.10222249552916651</v>
      </c>
      <c r="E12" s="18">
        <f>Detalhado!F69</f>
        <v>0.11734139280149695</v>
      </c>
      <c r="F12" s="18">
        <f>Detalhado!G69</f>
        <v>8.2613077315601802E-2</v>
      </c>
      <c r="G12" s="18">
        <f>Detalhado!H69</f>
        <v>9.691534129112063E-2</v>
      </c>
      <c r="H12" s="18">
        <f>Detalhado!I69</f>
        <v>0.10061967224759208</v>
      </c>
      <c r="I12" s="18">
        <f>Detalhado!J69</f>
        <v>9.6906631980655869E-2</v>
      </c>
      <c r="J12" s="18">
        <f>Detalhado!K69</f>
        <v>0.10089012640453811</v>
      </c>
    </row>
    <row r="13" spans="2:10" x14ac:dyDescent="0.2">
      <c r="B13" s="16" t="s">
        <v>29</v>
      </c>
      <c r="C13" s="18">
        <f>Detalhado!D80</f>
        <v>0.11869220950914726</v>
      </c>
      <c r="D13" s="18">
        <f>Detalhado!E80</f>
        <v>0.12971425663839675</v>
      </c>
      <c r="E13" s="18">
        <f>Detalhado!F80</f>
        <v>0.13043441464076791</v>
      </c>
      <c r="F13" s="18">
        <f>Detalhado!G80</f>
        <v>8.7890478353517057E-2</v>
      </c>
      <c r="G13" s="18">
        <f>Detalhado!H80</f>
        <v>0.11236590418493103</v>
      </c>
      <c r="H13" s="18">
        <f>Detalhado!I80</f>
        <v>0.10874335023255516</v>
      </c>
      <c r="I13" s="18">
        <f>Detalhado!J80</f>
        <v>0.10514196447974496</v>
      </c>
      <c r="J13" s="18">
        <f>Detalhado!K80</f>
        <v>0.11052067144061402</v>
      </c>
    </row>
    <row r="14" spans="2:10" x14ac:dyDescent="0.2">
      <c r="B14" s="16" t="s">
        <v>31</v>
      </c>
      <c r="C14" s="18">
        <f>Detalhado!D87</f>
        <v>4.5279667728177153E-2</v>
      </c>
      <c r="D14" s="18">
        <f>Detalhado!E87</f>
        <v>5.1397012568243278E-2</v>
      </c>
      <c r="E14" s="18">
        <f>Detalhado!F87</f>
        <v>5.3146262859428341E-2</v>
      </c>
      <c r="F14" s="18">
        <f>Detalhado!G87</f>
        <v>4.929842623128694E-2</v>
      </c>
      <c r="G14" s="18">
        <f>Detalhado!H87</f>
        <v>5.4140028620225891E-2</v>
      </c>
      <c r="H14" s="18">
        <f>Detalhado!I87</f>
        <v>5.3553164006980972E-2</v>
      </c>
      <c r="I14" s="18">
        <f>Detalhado!J87</f>
        <v>4.9546654676938577E-2</v>
      </c>
      <c r="J14" s="18">
        <f>Detalhado!K87</f>
        <v>5.3345021597301284E-2</v>
      </c>
    </row>
    <row r="15" spans="2:10" x14ac:dyDescent="0.2">
      <c r="B15" s="16" t="s">
        <v>6</v>
      </c>
      <c r="C15" s="18">
        <f>Detalhado!D94+Detalhado!D96</f>
        <v>1.5948265591172101E-2</v>
      </c>
      <c r="D15" s="18">
        <f>Detalhado!E94+Detalhado!E96</f>
        <v>1.7101416076605779E-2</v>
      </c>
      <c r="E15" s="18">
        <f>Detalhado!F94+Detalhado!F96</f>
        <v>6.4030749531291828E-2</v>
      </c>
      <c r="F15" s="18">
        <f>Detalhado!G94+Detalhado!G96</f>
        <v>6.1698486184768156E-2</v>
      </c>
      <c r="G15" s="18">
        <f>Detalhado!H94+Detalhado!H96</f>
        <v>3.8860249002791787E-2</v>
      </c>
      <c r="H15" s="18">
        <f>Detalhado!I94+Detalhado!I96</f>
        <v>4.5875954799394485E-2</v>
      </c>
      <c r="I15" s="18">
        <f>Detalhado!J94+Detalhado!J96</f>
        <v>3.85357983772645E-2</v>
      </c>
      <c r="J15" s="18">
        <f>Detalhado!K94+Detalhado!K96</f>
        <v>2.1227238356619396E-2</v>
      </c>
    </row>
    <row r="16" spans="2:10" x14ac:dyDescent="0.2">
      <c r="B16" s="16" t="s">
        <v>33</v>
      </c>
      <c r="C16" s="18">
        <f>Detalhado!D103</f>
        <v>5.8798502331654434E-3</v>
      </c>
      <c r="D16" s="18">
        <f>Detalhado!E103</f>
        <v>6.5996967566269256E-3</v>
      </c>
      <c r="E16" s="18">
        <f>Detalhado!F103</f>
        <v>5.1525434520893051E-3</v>
      </c>
      <c r="F16" s="18">
        <f>Detalhado!G103</f>
        <v>4.9025693949804284E-3</v>
      </c>
      <c r="G16" s="18">
        <f>Detalhado!H103</f>
        <v>7.6826023267391203E-3</v>
      </c>
      <c r="H16" s="18">
        <f>Detalhado!I103</f>
        <v>5.1507622684212467E-3</v>
      </c>
      <c r="I16" s="18">
        <f>Detalhado!J103</f>
        <v>4.4823683123673087E-3</v>
      </c>
      <c r="J16" s="18">
        <f>Detalhado!K103</f>
        <v>6.265379107976944E-3</v>
      </c>
    </row>
    <row r="17" spans="2:10" x14ac:dyDescent="0.2">
      <c r="B17" s="16" t="s">
        <v>35</v>
      </c>
      <c r="C17" s="18">
        <f>Detalhado!D114</f>
        <v>0.20008763756171949</v>
      </c>
      <c r="D17" s="18">
        <f>Detalhado!E114</f>
        <v>0.1928933500856537</v>
      </c>
      <c r="E17" s="18">
        <f>Detalhado!F114</f>
        <v>0.18912593194487692</v>
      </c>
      <c r="F17" s="18">
        <f>Detalhado!G114</f>
        <v>0.18227132100330637</v>
      </c>
      <c r="G17" s="18">
        <f>Detalhado!H114</f>
        <v>0.18059055678694563</v>
      </c>
      <c r="H17" s="18">
        <f>Detalhado!I114</f>
        <v>0.19265769804142069</v>
      </c>
      <c r="I17" s="18">
        <f>Detalhado!J114</f>
        <v>0.19609911852823789</v>
      </c>
      <c r="J17" s="18">
        <f>Detalhado!K114</f>
        <v>0.20929264020417851</v>
      </c>
    </row>
    <row r="18" spans="2:10" x14ac:dyDescent="0.2">
      <c r="B18" s="16" t="s">
        <v>0</v>
      </c>
      <c r="C18" s="18">
        <f>Detalhado!D121+Detalhado!D123</f>
        <v>0.17719379945800257</v>
      </c>
      <c r="D18" s="18">
        <f>Detalhado!E121+Detalhado!E123</f>
        <v>0.17011192585316279</v>
      </c>
      <c r="E18" s="18">
        <f>Detalhado!F121+Detalhado!F123</f>
        <v>0.16181112905223327</v>
      </c>
      <c r="F18" s="18">
        <f>Detalhado!G121+Detalhado!G123</f>
        <v>0.13292142089618719</v>
      </c>
      <c r="G18" s="18">
        <f>Detalhado!H121+Detalhado!H123</f>
        <v>0.16194890222883865</v>
      </c>
      <c r="H18" s="18">
        <f>Detalhado!I121+Detalhado!I123</f>
        <v>0.15059045763765386</v>
      </c>
      <c r="I18" s="18">
        <f>Detalhado!J121+Detalhado!J123</f>
        <v>0.14969583103301007</v>
      </c>
      <c r="J18" s="18">
        <f>Detalhado!K121+Detalhado!K123</f>
        <v>0.15255755926975442</v>
      </c>
    </row>
    <row r="19" spans="2:10" x14ac:dyDescent="0.2">
      <c r="B19" s="16" t="s">
        <v>38</v>
      </c>
      <c r="C19" s="18">
        <f>Detalhado!D140</f>
        <v>5.9333530743013304E-3</v>
      </c>
      <c r="D19" s="18">
        <f>Detalhado!E140</f>
        <v>3.4482779060922659E-3</v>
      </c>
      <c r="E19" s="18">
        <f>Detalhado!F140</f>
        <v>3.4410616458277646E-3</v>
      </c>
      <c r="F19" s="18">
        <f>Detalhado!G140</f>
        <v>2.8619029462923499E-2</v>
      </c>
      <c r="G19" s="18">
        <f>Detalhado!H140</f>
        <v>7.5874117576043192E-3</v>
      </c>
      <c r="H19" s="18">
        <f>Detalhado!I140</f>
        <v>1.8317597772409502E-2</v>
      </c>
      <c r="I19" s="18">
        <f>Detalhado!J140</f>
        <v>2.4141521804643948E-2</v>
      </c>
      <c r="J19" s="18">
        <f>Detalhado!K140</f>
        <v>7.4609742921506244E-3</v>
      </c>
    </row>
    <row r="20" spans="2:10" x14ac:dyDescent="0.2">
      <c r="B20" s="16" t="s">
        <v>43</v>
      </c>
      <c r="C20" s="18">
        <f>Detalhado!D147</f>
        <v>1.1942150217964621E-2</v>
      </c>
      <c r="D20" s="18">
        <f>Detalhado!E147</f>
        <v>1.2750537352212911E-2</v>
      </c>
      <c r="E20" s="18">
        <f>Detalhado!F147</f>
        <v>9.2127012579936562E-3</v>
      </c>
      <c r="F20" s="18">
        <f>Detalhado!G147</f>
        <v>5.7781976807644089E-3</v>
      </c>
      <c r="G20" s="18">
        <f>Detalhado!H147</f>
        <v>8.6572252397296434E-3</v>
      </c>
      <c r="H20" s="18">
        <f>Detalhado!I147</f>
        <v>9.9948292187257634E-3</v>
      </c>
      <c r="I20" s="18">
        <f>Detalhado!J147</f>
        <v>7.323128977306464E-3</v>
      </c>
      <c r="J20" s="18">
        <f>Detalhado!K147</f>
        <v>1.3496128257865208E-2</v>
      </c>
    </row>
    <row r="21" spans="2:10" x14ac:dyDescent="0.2">
      <c r="B21" s="16" t="s">
        <v>45</v>
      </c>
      <c r="C21" s="18">
        <f>Detalhado!D158</f>
        <v>2.2109024919696255E-2</v>
      </c>
      <c r="D21" s="18">
        <f>Detalhado!E158</f>
        <v>3.0798133580925421E-2</v>
      </c>
      <c r="E21" s="18">
        <f>Detalhado!F158</f>
        <v>2.4363112351376646E-2</v>
      </c>
      <c r="F21" s="18">
        <f>Detalhado!G158</f>
        <v>1.8304274624646396E-2</v>
      </c>
      <c r="G21" s="18">
        <f>Detalhado!H158</f>
        <v>2.6255457301512419E-2</v>
      </c>
      <c r="H21" s="18">
        <f>Detalhado!I158</f>
        <v>2.7343133698137016E-2</v>
      </c>
      <c r="I21" s="18">
        <f>Detalhado!J158</f>
        <v>2.2126707865891587E-2</v>
      </c>
      <c r="J21" s="18">
        <f>Detalhado!K158</f>
        <v>3.042301022247948E-2</v>
      </c>
    </row>
    <row r="22" spans="2:10" x14ac:dyDescent="0.2">
      <c r="B22" s="16" t="s">
        <v>48</v>
      </c>
      <c r="C22" s="18">
        <f>Detalhado!D164</f>
        <v>2.6371400029419657E-2</v>
      </c>
      <c r="D22" s="18">
        <f>Detalhado!E164</f>
        <v>2.8321649205331399E-2</v>
      </c>
      <c r="E22" s="18">
        <f>Detalhado!F164</f>
        <v>2.8432209123122738E-2</v>
      </c>
      <c r="F22" s="18">
        <f>Detalhado!G164</f>
        <v>2.3585844211075707E-2</v>
      </c>
      <c r="G22" s="18">
        <f>Detalhado!H164</f>
        <v>2.7454126391607669E-2</v>
      </c>
      <c r="H22" s="18">
        <f>Detalhado!I164</f>
        <v>2.7730548137113606E-2</v>
      </c>
      <c r="I22" s="18">
        <f>Detalhado!J164</f>
        <v>2.4724963708622993E-2</v>
      </c>
      <c r="J22" s="18">
        <f>Detalhado!K164</f>
        <v>2.8001687135290696E-2</v>
      </c>
    </row>
    <row r="23" spans="2:10" x14ac:dyDescent="0.2">
      <c r="B23" s="16" t="s">
        <v>50</v>
      </c>
      <c r="C23" s="18">
        <f>Detalhado!D176</f>
        <v>4.559200801655762E-2</v>
      </c>
      <c r="D23" s="18">
        <f>Detalhado!E176</f>
        <v>4.3640871777239659E-2</v>
      </c>
      <c r="E23" s="18">
        <f>Detalhado!F176</f>
        <v>4.3741597487484615E-2</v>
      </c>
      <c r="F23" s="18">
        <f>Detalhado!G176</f>
        <v>3.8498426923634081E-2</v>
      </c>
      <c r="G23" s="18">
        <f>Detalhado!H176</f>
        <v>4.489670440577636E-2</v>
      </c>
      <c r="H23" s="18">
        <f>Detalhado!I176</f>
        <v>4.7851903281219473E-2</v>
      </c>
      <c r="I23" s="18">
        <f>Detalhado!J176</f>
        <v>4.3992721099188475E-2</v>
      </c>
      <c r="J23" s="18">
        <f>Detalhado!K176</f>
        <v>5.1298998042360981E-2</v>
      </c>
    </row>
    <row r="24" spans="2:10" x14ac:dyDescent="0.2">
      <c r="B24" s="16" t="s">
        <v>2</v>
      </c>
      <c r="C24" s="18">
        <f>Detalhado!D188+Detalhado!D190</f>
        <v>5.7169542586305244E-2</v>
      </c>
      <c r="D24" s="18">
        <f>Detalhado!E188+Detalhado!E190</f>
        <v>4.9530602275394471E-2</v>
      </c>
      <c r="E24" s="18">
        <f>Detalhado!F188+Detalhado!F190</f>
        <v>4.9667081032818763E-2</v>
      </c>
      <c r="F24" s="18">
        <f>Detalhado!G188+Detalhado!G190</f>
        <v>9.9190151710538507E-2</v>
      </c>
      <c r="G24" s="18">
        <f>Detalhado!H188+Detalhado!H190</f>
        <v>4.7394115921647002E-2</v>
      </c>
      <c r="H24" s="18">
        <f>Detalhado!I188+Detalhado!I190</f>
        <v>3.4344433502104268E-2</v>
      </c>
      <c r="I24" s="18">
        <f>Detalhado!J188+Detalhado!J190</f>
        <v>5.5936636820046126E-2</v>
      </c>
      <c r="J24" s="18">
        <f>Detalhado!K188+Detalhado!K190</f>
        <v>2.8868475172073589E-2</v>
      </c>
    </row>
    <row r="25" spans="2:10" x14ac:dyDescent="0.2">
      <c r="B25" s="14" t="s">
        <v>79</v>
      </c>
      <c r="C25" s="35">
        <f>Detalhado!D194</f>
        <v>-1.0515602138880026E-3</v>
      </c>
      <c r="D25" s="35">
        <f>Detalhado!E194</f>
        <v>-1.2554873095626106E-3</v>
      </c>
      <c r="E25" s="35">
        <f>Detalhado!F194</f>
        <v>5.9214734357968861E-2</v>
      </c>
      <c r="F25" s="35">
        <f>Detalhado!G194</f>
        <v>-3.6493128650492796E-3</v>
      </c>
      <c r="G25" s="35">
        <f>Detalhado!H194</f>
        <v>-5.7444312298034397E-7</v>
      </c>
      <c r="H25" s="35">
        <f>Detalhado!I194</f>
        <v>0</v>
      </c>
      <c r="I25" s="35">
        <f>Detalhado!J194</f>
        <v>-7.1822400751827566E-4</v>
      </c>
      <c r="J25" s="35">
        <f>Detalhado!K194</f>
        <v>4.7115786251882804E-17</v>
      </c>
    </row>
    <row r="26" spans="2:10" x14ac:dyDescent="0.2">
      <c r="C26" s="30">
        <f>SUM(C7:C24)-C25</f>
        <v>0.99999999999999989</v>
      </c>
      <c r="D26" s="30">
        <f t="shared" ref="D26:J26" si="0">SUM(D7:D24)-D25</f>
        <v>1</v>
      </c>
      <c r="E26" s="30">
        <f t="shared" si="0"/>
        <v>1.0000000000000002</v>
      </c>
      <c r="F26" s="30">
        <f t="shared" si="0"/>
        <v>0.99999999999999978</v>
      </c>
      <c r="G26" s="30">
        <f t="shared" si="0"/>
        <v>1</v>
      </c>
      <c r="H26" s="30">
        <f t="shared" si="0"/>
        <v>1</v>
      </c>
      <c r="I26" s="30">
        <f t="shared" si="0"/>
        <v>1</v>
      </c>
      <c r="J26" s="30">
        <f t="shared" si="0"/>
        <v>1</v>
      </c>
    </row>
    <row r="28" spans="2:10" x14ac:dyDescent="0.2">
      <c r="B28" s="20" t="s">
        <v>75</v>
      </c>
      <c r="C28" s="32">
        <v>409</v>
      </c>
      <c r="D28" s="32">
        <v>420</v>
      </c>
      <c r="E28" s="32">
        <v>437</v>
      </c>
      <c r="F28" s="32">
        <v>454.5</v>
      </c>
      <c r="G28" s="32">
        <v>454.5</v>
      </c>
      <c r="H28" s="32">
        <v>454.5</v>
      </c>
      <c r="I28" s="32">
        <v>454.5</v>
      </c>
      <c r="J28" s="32">
        <v>497</v>
      </c>
    </row>
    <row r="30" spans="2:10" x14ac:dyDescent="0.2">
      <c r="B30" s="39" t="s">
        <v>80</v>
      </c>
    </row>
    <row r="31" spans="2:10" x14ac:dyDescent="0.2">
      <c r="B31" s="16" t="s">
        <v>5</v>
      </c>
      <c r="C31" s="36">
        <f>C7*C$28</f>
        <v>23.824561583189425</v>
      </c>
      <c r="D31" s="36">
        <f t="shared" ref="D31:J31" si="1">D7*D$28</f>
        <v>19.648772523846947</v>
      </c>
      <c r="E31" s="36">
        <f t="shared" si="1"/>
        <v>19.821918703506594</v>
      </c>
      <c r="F31" s="36">
        <f t="shared" si="1"/>
        <v>20.540029350641948</v>
      </c>
      <c r="G31" s="36">
        <f t="shared" si="1"/>
        <v>25.457650643584365</v>
      </c>
      <c r="H31" s="36">
        <f t="shared" si="1"/>
        <v>22.883832364620904</v>
      </c>
      <c r="I31" s="36">
        <f t="shared" si="1"/>
        <v>20.32817830107027</v>
      </c>
      <c r="J31" s="36">
        <f t="shared" si="1"/>
        <v>28.137697395725976</v>
      </c>
    </row>
    <row r="32" spans="2:10" x14ac:dyDescent="0.2">
      <c r="B32" s="16" t="s">
        <v>18</v>
      </c>
      <c r="C32" s="36">
        <f t="shared" ref="C32:J32" si="2">C8*C$28</f>
        <v>3.873497887021363</v>
      </c>
      <c r="D32" s="36">
        <f t="shared" si="2"/>
        <v>4.6008461240507579</v>
      </c>
      <c r="E32" s="36">
        <f t="shared" si="2"/>
        <v>4.3788944825230898</v>
      </c>
      <c r="F32" s="36">
        <f t="shared" si="2"/>
        <v>4.1491792593455479</v>
      </c>
      <c r="G32" s="36">
        <f t="shared" si="2"/>
        <v>5.6960601264005986</v>
      </c>
      <c r="H32" s="36">
        <f t="shared" si="2"/>
        <v>5.4045596283410369</v>
      </c>
      <c r="I32" s="36">
        <f t="shared" si="2"/>
        <v>4.3504268790197465</v>
      </c>
      <c r="J32" s="36">
        <f t="shared" si="2"/>
        <v>6.5627876267957515</v>
      </c>
    </row>
    <row r="33" spans="2:10" x14ac:dyDescent="0.2">
      <c r="B33" s="16" t="s">
        <v>8</v>
      </c>
      <c r="C33" s="36">
        <f t="shared" ref="C33:J33" si="3">C9*C$28</f>
        <v>31.26631085205937</v>
      </c>
      <c r="D33" s="36">
        <f t="shared" si="3"/>
        <v>30.667881501885667</v>
      </c>
      <c r="E33" s="36">
        <f t="shared" si="3"/>
        <v>41.803543498360348</v>
      </c>
      <c r="F33" s="36">
        <f t="shared" si="3"/>
        <v>46.739101586174527</v>
      </c>
      <c r="G33" s="36">
        <f t="shared" si="3"/>
        <v>40.279448427595213</v>
      </c>
      <c r="H33" s="36">
        <f t="shared" si="3"/>
        <v>39.350704820443831</v>
      </c>
      <c r="I33" s="36">
        <f t="shared" si="3"/>
        <v>45.172611214241421</v>
      </c>
      <c r="J33" s="36">
        <f t="shared" si="3"/>
        <v>43.830512412119027</v>
      </c>
    </row>
    <row r="34" spans="2:10" x14ac:dyDescent="0.2">
      <c r="B34" s="16" t="s">
        <v>22</v>
      </c>
      <c r="C34" s="36">
        <f t="shared" ref="C34:J34" si="4">C10*C$28</f>
        <v>7.6429480148320863</v>
      </c>
      <c r="D34" s="36">
        <f t="shared" si="4"/>
        <v>7.703699960084843</v>
      </c>
      <c r="E34" s="36">
        <f t="shared" si="4"/>
        <v>7.907130953854467</v>
      </c>
      <c r="F34" s="36">
        <f t="shared" si="4"/>
        <v>5.8422285641202754</v>
      </c>
      <c r="G34" s="36">
        <f t="shared" si="4"/>
        <v>8.1955121577580581</v>
      </c>
      <c r="H34" s="36">
        <f t="shared" si="4"/>
        <v>8.1405971186074435</v>
      </c>
      <c r="I34" s="36">
        <f t="shared" si="4"/>
        <v>6.1970369809021619</v>
      </c>
      <c r="J34" s="36">
        <f t="shared" si="4"/>
        <v>7.7899889207888027</v>
      </c>
    </row>
    <row r="35" spans="2:10" x14ac:dyDescent="0.2">
      <c r="B35" s="16" t="s">
        <v>24</v>
      </c>
      <c r="C35" s="36">
        <f t="shared" ref="C35:J35" si="5">C11*C$28</f>
        <v>6.2153694575249201</v>
      </c>
      <c r="D35" s="36">
        <f t="shared" si="5"/>
        <v>4.6688004659937059</v>
      </c>
      <c r="E35" s="36">
        <f t="shared" si="5"/>
        <v>4.4489694781744857</v>
      </c>
      <c r="F35" s="36">
        <f t="shared" si="5"/>
        <v>4.8935090776295356</v>
      </c>
      <c r="G35" s="36">
        <f t="shared" si="5"/>
        <v>4.5678172889331821</v>
      </c>
      <c r="H35" s="36">
        <f t="shared" si="5"/>
        <v>4.7697481165123561</v>
      </c>
      <c r="I35" s="36">
        <f t="shared" si="5"/>
        <v>6.0470491500982595</v>
      </c>
      <c r="J35" s="36">
        <f t="shared" si="5"/>
        <v>6.296002621478439</v>
      </c>
    </row>
    <row r="36" spans="2:10" x14ac:dyDescent="0.2">
      <c r="B36" s="16" t="s">
        <v>26</v>
      </c>
      <c r="C36" s="36">
        <f t="shared" ref="C36:J36" si="6">C12*C$28</f>
        <v>36.277870327310502</v>
      </c>
      <c r="D36" s="36">
        <f t="shared" si="6"/>
        <v>42.933448122249935</v>
      </c>
      <c r="E36" s="36">
        <f t="shared" si="6"/>
        <v>51.278188654254173</v>
      </c>
      <c r="F36" s="36">
        <f t="shared" si="6"/>
        <v>37.547643639941022</v>
      </c>
      <c r="G36" s="36">
        <f t="shared" si="6"/>
        <v>44.048022616814329</v>
      </c>
      <c r="H36" s="36">
        <f t="shared" si="6"/>
        <v>45.731641036530597</v>
      </c>
      <c r="I36" s="36">
        <f t="shared" si="6"/>
        <v>44.04406423520809</v>
      </c>
      <c r="J36" s="36">
        <f t="shared" si="6"/>
        <v>50.142392823055438</v>
      </c>
    </row>
    <row r="37" spans="2:10" x14ac:dyDescent="0.2">
      <c r="B37" s="16" t="s">
        <v>29</v>
      </c>
      <c r="C37" s="36">
        <f t="shared" ref="C37:J37" si="7">C13*C$28</f>
        <v>48.545113689241226</v>
      </c>
      <c r="D37" s="36">
        <f t="shared" si="7"/>
        <v>54.479987788126635</v>
      </c>
      <c r="E37" s="36">
        <f t="shared" si="7"/>
        <v>56.999839198015579</v>
      </c>
      <c r="F37" s="36">
        <f t="shared" si="7"/>
        <v>39.946222411673503</v>
      </c>
      <c r="G37" s="36">
        <f t="shared" si="7"/>
        <v>51.070303452051157</v>
      </c>
      <c r="H37" s="36">
        <f t="shared" si="7"/>
        <v>49.423852680696321</v>
      </c>
      <c r="I37" s="36">
        <f t="shared" si="7"/>
        <v>47.787022856044082</v>
      </c>
      <c r="J37" s="36">
        <f t="shared" si="7"/>
        <v>54.928773705985165</v>
      </c>
    </row>
    <row r="38" spans="2:10" x14ac:dyDescent="0.2">
      <c r="B38" s="16" t="s">
        <v>31</v>
      </c>
      <c r="C38" s="36">
        <f t="shared" ref="C38:J38" si="8">C14*C$28</f>
        <v>18.519384100824457</v>
      </c>
      <c r="D38" s="36">
        <f t="shared" si="8"/>
        <v>21.586745278662178</v>
      </c>
      <c r="E38" s="36">
        <f t="shared" si="8"/>
        <v>23.224916869570183</v>
      </c>
      <c r="F38" s="36">
        <f t="shared" si="8"/>
        <v>22.406134722119916</v>
      </c>
      <c r="G38" s="36">
        <f t="shared" si="8"/>
        <v>24.606643007892668</v>
      </c>
      <c r="H38" s="36">
        <f t="shared" si="8"/>
        <v>24.339913041172853</v>
      </c>
      <c r="I38" s="36">
        <f t="shared" si="8"/>
        <v>22.518954550668582</v>
      </c>
      <c r="J38" s="36">
        <f t="shared" si="8"/>
        <v>26.512475733858739</v>
      </c>
    </row>
    <row r="39" spans="2:10" x14ac:dyDescent="0.2">
      <c r="B39" s="16" t="s">
        <v>6</v>
      </c>
      <c r="C39" s="36">
        <f t="shared" ref="C39:J39" si="9">C15*C$28</f>
        <v>6.5228406267893888</v>
      </c>
      <c r="D39" s="36">
        <f t="shared" si="9"/>
        <v>7.1825947521744267</v>
      </c>
      <c r="E39" s="36">
        <f t="shared" si="9"/>
        <v>27.981437545174529</v>
      </c>
      <c r="F39" s="36">
        <f t="shared" si="9"/>
        <v>28.041961970977127</v>
      </c>
      <c r="G39" s="36">
        <f t="shared" si="9"/>
        <v>17.661983171768867</v>
      </c>
      <c r="H39" s="36">
        <f t="shared" si="9"/>
        <v>20.850621456324792</v>
      </c>
      <c r="I39" s="36">
        <f t="shared" si="9"/>
        <v>17.514520362466715</v>
      </c>
      <c r="J39" s="36">
        <f t="shared" si="9"/>
        <v>10.549937463239839</v>
      </c>
    </row>
    <row r="40" spans="2:10" x14ac:dyDescent="0.2">
      <c r="B40" s="16" t="s">
        <v>33</v>
      </c>
      <c r="C40" s="36">
        <f t="shared" ref="C40:J40" si="10">C16*C$28</f>
        <v>2.4048587453646664</v>
      </c>
      <c r="D40" s="36">
        <f t="shared" si="10"/>
        <v>2.7718726377833089</v>
      </c>
      <c r="E40" s="36">
        <f t="shared" si="10"/>
        <v>2.2516614885630264</v>
      </c>
      <c r="F40" s="36">
        <f t="shared" si="10"/>
        <v>2.2282177900186046</v>
      </c>
      <c r="G40" s="36">
        <f t="shared" si="10"/>
        <v>3.4917427575029301</v>
      </c>
      <c r="H40" s="36">
        <f t="shared" si="10"/>
        <v>2.3410214509974567</v>
      </c>
      <c r="I40" s="36">
        <f t="shared" si="10"/>
        <v>2.0372363979709416</v>
      </c>
      <c r="J40" s="36">
        <f t="shared" si="10"/>
        <v>3.1138934166645411</v>
      </c>
    </row>
    <row r="41" spans="2:10" x14ac:dyDescent="0.2">
      <c r="B41" s="16" t="s">
        <v>35</v>
      </c>
      <c r="C41" s="36">
        <f t="shared" ref="C41:J41" si="11">C17*C$28</f>
        <v>81.835843762743266</v>
      </c>
      <c r="D41" s="36">
        <f t="shared" si="11"/>
        <v>81.015207035974555</v>
      </c>
      <c r="E41" s="36">
        <f t="shared" si="11"/>
        <v>82.648032259911218</v>
      </c>
      <c r="F41" s="36">
        <f t="shared" si="11"/>
        <v>82.842315396002746</v>
      </c>
      <c r="G41" s="36">
        <f t="shared" si="11"/>
        <v>82.078408059666785</v>
      </c>
      <c r="H41" s="36">
        <f t="shared" si="11"/>
        <v>87.562923759825708</v>
      </c>
      <c r="I41" s="36">
        <f t="shared" si="11"/>
        <v>89.127049371084127</v>
      </c>
      <c r="J41" s="36">
        <f t="shared" si="11"/>
        <v>104.01844218147671</v>
      </c>
    </row>
    <row r="42" spans="2:10" x14ac:dyDescent="0.2">
      <c r="B42" s="16" t="s">
        <v>0</v>
      </c>
      <c r="C42" s="36">
        <f t="shared" ref="C42:J42" si="12">C18*C$28</f>
        <v>72.472263978323056</v>
      </c>
      <c r="D42" s="36">
        <f t="shared" si="12"/>
        <v>71.447008858328374</v>
      </c>
      <c r="E42" s="36">
        <f t="shared" si="12"/>
        <v>70.711463395825945</v>
      </c>
      <c r="F42" s="36">
        <f t="shared" si="12"/>
        <v>60.412785797317078</v>
      </c>
      <c r="G42" s="36">
        <f t="shared" si="12"/>
        <v>73.60577606300717</v>
      </c>
      <c r="H42" s="36">
        <f t="shared" si="12"/>
        <v>68.443362996313681</v>
      </c>
      <c r="I42" s="36">
        <f t="shared" si="12"/>
        <v>68.036755204503081</v>
      </c>
      <c r="J42" s="36">
        <f t="shared" si="12"/>
        <v>75.821106957067954</v>
      </c>
    </row>
    <row r="43" spans="2:10" x14ac:dyDescent="0.2">
      <c r="B43" s="16" t="s">
        <v>38</v>
      </c>
      <c r="C43" s="36">
        <f t="shared" ref="C43:J43" si="13">C19*C$28</f>
        <v>2.4267414073892439</v>
      </c>
      <c r="D43" s="36">
        <f t="shared" si="13"/>
        <v>1.4482767205587517</v>
      </c>
      <c r="E43" s="36">
        <f t="shared" si="13"/>
        <v>1.5037439392267331</v>
      </c>
      <c r="F43" s="36">
        <f t="shared" si="13"/>
        <v>13.007348890898729</v>
      </c>
      <c r="G43" s="36">
        <f t="shared" si="13"/>
        <v>3.4484786438311632</v>
      </c>
      <c r="H43" s="36">
        <f t="shared" si="13"/>
        <v>8.3253481875601185</v>
      </c>
      <c r="I43" s="36">
        <f t="shared" si="13"/>
        <v>10.972321660210675</v>
      </c>
      <c r="J43" s="36">
        <f t="shared" si="13"/>
        <v>3.7081042231988603</v>
      </c>
    </row>
    <row r="44" spans="2:10" x14ac:dyDescent="0.2">
      <c r="B44" s="16" t="s">
        <v>43</v>
      </c>
      <c r="C44" s="36">
        <f t="shared" ref="C44:J44" si="14">C20*C$28</f>
        <v>4.8843394391475297</v>
      </c>
      <c r="D44" s="36">
        <f t="shared" si="14"/>
        <v>5.3552256879294227</v>
      </c>
      <c r="E44" s="36">
        <f t="shared" si="14"/>
        <v>4.0259504497432275</v>
      </c>
      <c r="F44" s="36">
        <f t="shared" si="14"/>
        <v>2.6261908459074239</v>
      </c>
      <c r="G44" s="36">
        <f t="shared" si="14"/>
        <v>3.934708871457123</v>
      </c>
      <c r="H44" s="36">
        <f t="shared" si="14"/>
        <v>4.5426498799108597</v>
      </c>
      <c r="I44" s="36">
        <f t="shared" si="14"/>
        <v>3.3283621201857878</v>
      </c>
      <c r="J44" s="36">
        <f t="shared" si="14"/>
        <v>6.7075757441590085</v>
      </c>
    </row>
    <row r="45" spans="2:10" x14ac:dyDescent="0.2">
      <c r="B45" s="16" t="s">
        <v>45</v>
      </c>
      <c r="C45" s="36">
        <f t="shared" ref="C45:J45" si="15">C21*C$28</f>
        <v>9.0425911921557685</v>
      </c>
      <c r="D45" s="36">
        <f t="shared" si="15"/>
        <v>12.935216103988676</v>
      </c>
      <c r="E45" s="36">
        <f t="shared" si="15"/>
        <v>10.646680097551593</v>
      </c>
      <c r="F45" s="36">
        <f t="shared" si="15"/>
        <v>8.3192928169017861</v>
      </c>
      <c r="G45" s="36">
        <f t="shared" si="15"/>
        <v>11.933105343537393</v>
      </c>
      <c r="H45" s="36">
        <f t="shared" si="15"/>
        <v>12.427454265803274</v>
      </c>
      <c r="I45" s="36">
        <f t="shared" si="15"/>
        <v>10.056588725047726</v>
      </c>
      <c r="J45" s="36">
        <f t="shared" si="15"/>
        <v>15.120236080572301</v>
      </c>
    </row>
    <row r="46" spans="2:10" x14ac:dyDescent="0.2">
      <c r="B46" s="16" t="s">
        <v>48</v>
      </c>
      <c r="C46" s="36">
        <f t="shared" ref="C46:J46" si="16">C22*C$28</f>
        <v>10.78590261203264</v>
      </c>
      <c r="D46" s="36">
        <f t="shared" si="16"/>
        <v>11.895092666239188</v>
      </c>
      <c r="E46" s="36">
        <f t="shared" si="16"/>
        <v>12.424875386804636</v>
      </c>
      <c r="F46" s="36">
        <f t="shared" si="16"/>
        <v>10.719766193933909</v>
      </c>
      <c r="G46" s="36">
        <f t="shared" si="16"/>
        <v>12.477900444985686</v>
      </c>
      <c r="H46" s="36">
        <f t="shared" si="16"/>
        <v>12.603534128318135</v>
      </c>
      <c r="I46" s="36">
        <f t="shared" si="16"/>
        <v>11.237496005569151</v>
      </c>
      <c r="J46" s="36">
        <f t="shared" si="16"/>
        <v>13.916838506239475</v>
      </c>
    </row>
    <row r="47" spans="2:10" x14ac:dyDescent="0.2">
      <c r="B47" s="16" t="s">
        <v>50</v>
      </c>
      <c r="C47" s="36">
        <f t="shared" ref="C47:J47" si="17">C23*C$28</f>
        <v>18.647131278772065</v>
      </c>
      <c r="D47" s="36">
        <f t="shared" si="17"/>
        <v>18.329166146440656</v>
      </c>
      <c r="E47" s="36">
        <f t="shared" si="17"/>
        <v>19.115078102030775</v>
      </c>
      <c r="F47" s="36">
        <f t="shared" si="17"/>
        <v>17.497535036791689</v>
      </c>
      <c r="G47" s="36">
        <f t="shared" si="17"/>
        <v>20.405552152425354</v>
      </c>
      <c r="H47" s="36">
        <f t="shared" si="17"/>
        <v>21.748690041314251</v>
      </c>
      <c r="I47" s="36">
        <f t="shared" si="17"/>
        <v>19.99469173958116</v>
      </c>
      <c r="J47" s="36">
        <f t="shared" si="17"/>
        <v>25.495602027053408</v>
      </c>
    </row>
    <row r="48" spans="2:10" x14ac:dyDescent="0.2">
      <c r="B48" s="16" t="s">
        <v>2</v>
      </c>
      <c r="C48" s="36">
        <f t="shared" ref="C48:J49" si="18">C24*C$28</f>
        <v>23.382342917798844</v>
      </c>
      <c r="D48" s="36">
        <f t="shared" si="18"/>
        <v>20.802852955665678</v>
      </c>
      <c r="E48" s="36">
        <f t="shared" si="18"/>
        <v>21.704514411341801</v>
      </c>
      <c r="F48" s="36">
        <f t="shared" si="18"/>
        <v>45.081923952439752</v>
      </c>
      <c r="G48" s="36">
        <f t="shared" si="18"/>
        <v>21.540625686388562</v>
      </c>
      <c r="H48" s="36">
        <f t="shared" si="18"/>
        <v>15.609545026706391</v>
      </c>
      <c r="I48" s="36">
        <f t="shared" si="18"/>
        <v>25.423201434710965</v>
      </c>
      <c r="J48" s="36">
        <f t="shared" si="18"/>
        <v>14.347632160520574</v>
      </c>
    </row>
    <row r="49" spans="2:10" x14ac:dyDescent="0.2">
      <c r="B49" s="14" t="s">
        <v>79</v>
      </c>
      <c r="C49" s="37">
        <f t="shared" si="18"/>
        <v>-0.43008812748019304</v>
      </c>
      <c r="D49" s="37">
        <f t="shared" si="18"/>
        <v>-0.52730467001629644</v>
      </c>
      <c r="E49" s="37">
        <f t="shared" si="18"/>
        <v>25.87683891443239</v>
      </c>
      <c r="F49" s="37">
        <f t="shared" si="18"/>
        <v>-1.6586126971648976</v>
      </c>
      <c r="G49" s="37">
        <f t="shared" si="18"/>
        <v>-2.6108439939456632E-4</v>
      </c>
      <c r="H49" s="37">
        <f t="shared" si="18"/>
        <v>0</v>
      </c>
      <c r="I49" s="37">
        <f t="shared" si="18"/>
        <v>-0.32643281141705627</v>
      </c>
      <c r="J49" s="37">
        <f t="shared" si="18"/>
        <v>2.3416545767185753E-14</v>
      </c>
    </row>
    <row r="50" spans="2:10" x14ac:dyDescent="0.2">
      <c r="C50" s="38">
        <f>SUM(C31:C48)-C49</f>
        <v>409</v>
      </c>
      <c r="D50" s="38">
        <f t="shared" ref="D50" si="19">SUM(D31:D48)-D49</f>
        <v>420</v>
      </c>
      <c r="E50" s="38">
        <f t="shared" ref="E50" si="20">SUM(E31:E48)-E49</f>
        <v>437.00000000000006</v>
      </c>
      <c r="F50" s="38">
        <f t="shared" ref="F50" si="21">SUM(F31:F48)-F49</f>
        <v>454.50000000000011</v>
      </c>
      <c r="G50" s="38">
        <f t="shared" ref="G50" si="22">SUM(G31:G48)-G49</f>
        <v>454.5</v>
      </c>
      <c r="H50" s="38">
        <f t="shared" ref="H50" si="23">SUM(H31:H48)-H49</f>
        <v>454.49999999999994</v>
      </c>
      <c r="I50" s="38">
        <f t="shared" ref="I50" si="24">SUM(I31:I48)-I49</f>
        <v>454.50000000000006</v>
      </c>
      <c r="J50" s="38">
        <f t="shared" ref="J50" si="25">SUM(J31:J48)-J49</f>
        <v>496.99999999999994</v>
      </c>
    </row>
    <row r="51" spans="2:10" x14ac:dyDescent="0.2">
      <c r="C51" s="1" t="b">
        <f>C50=C28</f>
        <v>1</v>
      </c>
      <c r="D51" s="1" t="b">
        <f t="shared" ref="D51:J51" si="26">D50=D28</f>
        <v>1</v>
      </c>
      <c r="E51" s="1" t="b">
        <f t="shared" si="26"/>
        <v>1</v>
      </c>
      <c r="F51" s="1" t="b">
        <f t="shared" si="26"/>
        <v>1</v>
      </c>
      <c r="G51" s="1" t="b">
        <f t="shared" si="26"/>
        <v>1</v>
      </c>
      <c r="H51" s="1" t="b">
        <f t="shared" si="26"/>
        <v>1</v>
      </c>
      <c r="I51" s="1" t="b">
        <f t="shared" si="26"/>
        <v>1</v>
      </c>
      <c r="J51" s="1" t="b">
        <f t="shared" si="26"/>
        <v>1</v>
      </c>
    </row>
    <row r="53" spans="2:10" x14ac:dyDescent="0.2">
      <c r="B53" s="39" t="s">
        <v>82</v>
      </c>
      <c r="C53" s="8">
        <v>2</v>
      </c>
      <c r="D53" s="8">
        <v>3</v>
      </c>
      <c r="E53" s="8">
        <v>4</v>
      </c>
      <c r="F53" s="8">
        <v>5</v>
      </c>
      <c r="G53" s="8">
        <v>6</v>
      </c>
      <c r="H53" s="8">
        <v>7</v>
      </c>
      <c r="I53" s="8">
        <v>8</v>
      </c>
      <c r="J53" s="8">
        <v>9</v>
      </c>
    </row>
    <row r="54" spans="2:10" x14ac:dyDescent="0.2">
      <c r="B54" s="41" t="s">
        <v>81</v>
      </c>
      <c r="C54" s="43">
        <v>2017</v>
      </c>
      <c r="D54" s="43">
        <v>2018</v>
      </c>
      <c r="E54" s="43">
        <v>2019</v>
      </c>
      <c r="F54" s="43">
        <v>2020</v>
      </c>
      <c r="G54" s="43" t="s">
        <v>85</v>
      </c>
      <c r="H54" s="43" t="s">
        <v>84</v>
      </c>
      <c r="I54" s="43" t="s">
        <v>14</v>
      </c>
      <c r="J54" s="43" t="s">
        <v>83</v>
      </c>
    </row>
    <row r="55" spans="2:10" x14ac:dyDescent="0.2">
      <c r="B55" s="42" t="s">
        <v>2</v>
      </c>
      <c r="C55" s="44">
        <f t="shared" ref="C55:J55" si="27">VLOOKUP($B55,$B$7:$J$25,C$53,0)</f>
        <v>5.7169542586305244E-2</v>
      </c>
      <c r="D55" s="44">
        <f t="shared" si="27"/>
        <v>4.9530602275394471E-2</v>
      </c>
      <c r="E55" s="44">
        <f t="shared" si="27"/>
        <v>4.9667081032818763E-2</v>
      </c>
      <c r="F55" s="44">
        <f t="shared" si="27"/>
        <v>9.9190151710538507E-2</v>
      </c>
      <c r="G55" s="44">
        <f t="shared" si="27"/>
        <v>4.7394115921647002E-2</v>
      </c>
      <c r="H55" s="44">
        <f t="shared" si="27"/>
        <v>3.4344433502104268E-2</v>
      </c>
      <c r="I55" s="44">
        <f t="shared" si="27"/>
        <v>5.5936636820046126E-2</v>
      </c>
      <c r="J55" s="44">
        <f t="shared" si="27"/>
        <v>2.8868475172073589E-2</v>
      </c>
    </row>
    <row r="56" spans="2:10" x14ac:dyDescent="0.2">
      <c r="B56" s="40"/>
      <c r="C56" s="45">
        <f t="shared" ref="C56:J56" si="28">VLOOKUP($B55,$B$31:$J$49,C$53,0)</f>
        <v>23.382342917798844</v>
      </c>
      <c r="D56" s="45">
        <f t="shared" si="28"/>
        <v>20.802852955665678</v>
      </c>
      <c r="E56" s="45">
        <f t="shared" si="28"/>
        <v>21.704514411341801</v>
      </c>
      <c r="F56" s="45">
        <f t="shared" si="28"/>
        <v>45.081923952439752</v>
      </c>
      <c r="G56" s="45">
        <f t="shared" si="28"/>
        <v>21.540625686388562</v>
      </c>
      <c r="H56" s="45">
        <f t="shared" si="28"/>
        <v>15.609545026706391</v>
      </c>
      <c r="I56" s="45">
        <f t="shared" si="28"/>
        <v>25.423201434710965</v>
      </c>
      <c r="J56" s="45">
        <f t="shared" si="28"/>
        <v>14.347632160520574</v>
      </c>
    </row>
  </sheetData>
  <dataValidations count="1">
    <dataValidation type="list" allowBlank="1" showInputMessage="1" showErrorMessage="1" sqref="B55">
      <formula1>$B$7:$B$25</formula1>
    </dataValidation>
  </dataValidations>
  <pageMargins left="0.511811024" right="0.511811024" top="0.78740157499999996" bottom="0.78740157499999996" header="0.31496062000000002" footer="0.31496062000000002"/>
  <pageSetup paperSize="9" scale="8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K196"/>
  <sheetViews>
    <sheetView showGridLines="0" topLeftCell="B1" zoomScaleNormal="100" workbookViewId="0">
      <selection activeCell="B2" sqref="B2"/>
    </sheetView>
  </sheetViews>
  <sheetFormatPr defaultRowHeight="12.75" x14ac:dyDescent="0.2"/>
  <cols>
    <col min="1" max="1" width="2.7109375" style="1" customWidth="1"/>
    <col min="2" max="2" width="40.7109375" style="1" customWidth="1"/>
    <col min="3" max="3" width="15.7109375" style="1" customWidth="1"/>
    <col min="4" max="11" width="14.7109375" style="1" customWidth="1"/>
    <col min="12" max="16384" width="9.140625" style="1"/>
  </cols>
  <sheetData>
    <row r="2" spans="2:11" x14ac:dyDescent="0.2">
      <c r="B2" s="20" t="s">
        <v>75</v>
      </c>
      <c r="C2" s="20"/>
      <c r="D2" s="32">
        <v>409</v>
      </c>
      <c r="E2" s="32">
        <v>420</v>
      </c>
      <c r="F2" s="32">
        <v>437</v>
      </c>
      <c r="G2" s="32">
        <v>454.5</v>
      </c>
      <c r="H2" s="32">
        <v>454.5</v>
      </c>
      <c r="I2" s="32">
        <v>454.5</v>
      </c>
      <c r="J2" s="32">
        <v>454.5</v>
      </c>
      <c r="K2" s="32">
        <v>497</v>
      </c>
    </row>
    <row r="3" spans="2:11" x14ac:dyDescent="0.2">
      <c r="D3" s="2"/>
      <c r="E3" s="2"/>
      <c r="F3" s="2"/>
      <c r="G3" s="2"/>
      <c r="H3" s="2"/>
      <c r="I3" s="2"/>
      <c r="J3" s="2"/>
      <c r="K3" s="2"/>
    </row>
    <row r="4" spans="2:11" x14ac:dyDescent="0.2">
      <c r="B4" s="46" t="s">
        <v>86</v>
      </c>
      <c r="D4" s="3">
        <v>2017</v>
      </c>
      <c r="E4" s="3">
        <v>2018</v>
      </c>
      <c r="F4" s="3">
        <v>2019</v>
      </c>
      <c r="G4" s="3">
        <v>2020</v>
      </c>
      <c r="H4" s="3" t="s">
        <v>12</v>
      </c>
      <c r="I4" s="3" t="s">
        <v>13</v>
      </c>
      <c r="J4" s="3" t="s">
        <v>14</v>
      </c>
      <c r="K4" s="3" t="s">
        <v>15</v>
      </c>
    </row>
    <row r="6" spans="2:11" x14ac:dyDescent="0.2">
      <c r="B6" s="1" t="s">
        <v>61</v>
      </c>
      <c r="C6" s="1" t="s">
        <v>11</v>
      </c>
      <c r="D6" s="2">
        <v>131112997</v>
      </c>
      <c r="E6" s="2">
        <v>132837752</v>
      </c>
      <c r="F6" s="2">
        <v>137205057</v>
      </c>
      <c r="G6" s="2">
        <v>137312194.08999997</v>
      </c>
      <c r="H6" s="2">
        <v>142532515</v>
      </c>
      <c r="I6" s="2">
        <v>142988073</v>
      </c>
      <c r="J6" s="2">
        <v>140972173.94000003</v>
      </c>
      <c r="K6" s="2">
        <v>152953115.27999997</v>
      </c>
    </row>
    <row r="7" spans="2:11" x14ac:dyDescent="0.2">
      <c r="B7" s="1" t="s">
        <v>62</v>
      </c>
      <c r="C7" s="1" t="s">
        <v>11</v>
      </c>
      <c r="D7" s="2">
        <v>1998308</v>
      </c>
      <c r="E7" s="2">
        <v>2282414</v>
      </c>
      <c r="F7" s="2">
        <v>2489062</v>
      </c>
      <c r="G7" s="2">
        <v>1314628.52</v>
      </c>
      <c r="H7" s="2">
        <v>2328686</v>
      </c>
      <c r="I7" s="2">
        <v>2110360</v>
      </c>
      <c r="J7" s="2">
        <v>1710480.2200000002</v>
      </c>
      <c r="K7" s="2">
        <v>1932066.31</v>
      </c>
    </row>
    <row r="8" spans="2:11" x14ac:dyDescent="0.2">
      <c r="B8" s="1" t="s">
        <v>63</v>
      </c>
      <c r="C8" s="1" t="s">
        <v>11</v>
      </c>
      <c r="D8" s="2">
        <v>1432996</v>
      </c>
      <c r="E8" s="2">
        <v>1475480</v>
      </c>
      <c r="F8" s="2">
        <v>1484400</v>
      </c>
      <c r="G8" s="2">
        <v>289501.93</v>
      </c>
      <c r="H8" s="2">
        <v>1558344</v>
      </c>
      <c r="I8" s="2">
        <v>1105451</v>
      </c>
      <c r="J8" s="2">
        <v>644765.40075757576</v>
      </c>
      <c r="K8" s="2">
        <v>1254672.5499999998</v>
      </c>
    </row>
    <row r="9" spans="2:11" x14ac:dyDescent="0.2">
      <c r="B9" s="1" t="s">
        <v>64</v>
      </c>
      <c r="C9" s="1" t="s">
        <v>11</v>
      </c>
      <c r="D9" s="2">
        <v>1309122</v>
      </c>
      <c r="E9" s="2">
        <v>1462016</v>
      </c>
      <c r="F9" s="2">
        <v>1201199</v>
      </c>
      <c r="G9" s="2">
        <v>2600109.2399999998</v>
      </c>
      <c r="H9" s="2">
        <v>4643234</v>
      </c>
      <c r="I9" s="2">
        <v>4069062</v>
      </c>
      <c r="J9" s="2">
        <v>2885069.7199999993</v>
      </c>
      <c r="K9" s="2">
        <v>2953569.9600000004</v>
      </c>
    </row>
    <row r="10" spans="2:11" x14ac:dyDescent="0.2">
      <c r="B10" s="1" t="s">
        <v>70</v>
      </c>
      <c r="C10" s="1" t="s">
        <v>11</v>
      </c>
      <c r="D10" s="2">
        <v>3141350</v>
      </c>
      <c r="E10" s="2">
        <v>3774821</v>
      </c>
      <c r="F10" s="2">
        <v>116184</v>
      </c>
      <c r="G10" s="2">
        <v>71886.930000000008</v>
      </c>
      <c r="H10" s="2">
        <v>0</v>
      </c>
      <c r="I10" s="2">
        <v>0</v>
      </c>
      <c r="J10" s="2">
        <v>605230.65</v>
      </c>
      <c r="K10" s="2">
        <v>0</v>
      </c>
    </row>
    <row r="11" spans="2:11" x14ac:dyDescent="0.2">
      <c r="B11" s="33" t="s">
        <v>77</v>
      </c>
      <c r="C11" s="33" t="s">
        <v>65</v>
      </c>
      <c r="D11" s="34">
        <v>-324955</v>
      </c>
      <c r="E11" s="34">
        <v>-318877</v>
      </c>
      <c r="F11" s="34">
        <v>-963587</v>
      </c>
      <c r="G11" s="34">
        <v>-97056.7</v>
      </c>
      <c r="H11" s="34">
        <v>-332570</v>
      </c>
      <c r="I11" s="34">
        <v>-157370</v>
      </c>
      <c r="J11" s="34">
        <v>-116726.1</v>
      </c>
      <c r="K11" s="34">
        <v>0</v>
      </c>
    </row>
    <row r="12" spans="2:11" x14ac:dyDescent="0.2">
      <c r="B12" s="4" t="s">
        <v>71</v>
      </c>
      <c r="C12" s="4" t="s">
        <v>10</v>
      </c>
      <c r="D12" s="5">
        <f>-3721600-4600000</f>
        <v>-8321600</v>
      </c>
      <c r="E12" s="5">
        <f>-1966267-2900000</f>
        <v>-4866267</v>
      </c>
      <c r="F12" s="5">
        <v>-688282</v>
      </c>
      <c r="G12" s="5">
        <v>-1850331.91</v>
      </c>
      <c r="H12" s="5">
        <v>-1020000</v>
      </c>
      <c r="I12" s="5">
        <v>-5503000</v>
      </c>
      <c r="J12" s="5">
        <v>-5594016.9699999997</v>
      </c>
      <c r="K12" s="5">
        <v>-960000.26</v>
      </c>
    </row>
    <row r="13" spans="2:11" x14ac:dyDescent="0.2">
      <c r="B13" s="11" t="s">
        <v>52</v>
      </c>
      <c r="C13" s="11" t="s">
        <v>65</v>
      </c>
      <c r="D13" s="12">
        <f>SUM(D6:D12)</f>
        <v>130348218</v>
      </c>
      <c r="E13" s="12">
        <f t="shared" ref="E13:K13" si="0">SUM(E6:E12)</f>
        <v>136647339</v>
      </c>
      <c r="F13" s="12">
        <f t="shared" si="0"/>
        <v>140844033</v>
      </c>
      <c r="G13" s="12">
        <f t="shared" si="0"/>
        <v>139640932.10000002</v>
      </c>
      <c r="H13" s="12">
        <f t="shared" si="0"/>
        <v>149710209</v>
      </c>
      <c r="I13" s="12">
        <f t="shared" si="0"/>
        <v>144612576</v>
      </c>
      <c r="J13" s="12">
        <f t="shared" si="0"/>
        <v>141106976.86075762</v>
      </c>
      <c r="K13" s="12">
        <f t="shared" si="0"/>
        <v>158133423.84</v>
      </c>
    </row>
    <row r="15" spans="2:11" x14ac:dyDescent="0.2">
      <c r="B15" s="16" t="s">
        <v>5</v>
      </c>
    </row>
    <row r="16" spans="2:11" x14ac:dyDescent="0.2">
      <c r="B16" s="1" t="s">
        <v>16</v>
      </c>
      <c r="C16" s="1" t="s">
        <v>10</v>
      </c>
      <c r="D16" s="2">
        <v>-156273</v>
      </c>
      <c r="E16" s="2">
        <v>-212742</v>
      </c>
      <c r="F16" s="2">
        <v>-381049</v>
      </c>
      <c r="G16" s="2">
        <v>-615634.98</v>
      </c>
      <c r="H16" s="2">
        <v>-854194</v>
      </c>
      <c r="I16" s="2">
        <v>-638118</v>
      </c>
      <c r="J16" s="2">
        <v>-425208.83058140241</v>
      </c>
      <c r="K16" s="2">
        <v>-767463.2</v>
      </c>
    </row>
    <row r="17" spans="2:11" x14ac:dyDescent="0.2">
      <c r="B17" s="1" t="s">
        <v>17</v>
      </c>
      <c r="C17" s="1" t="s">
        <v>10</v>
      </c>
      <c r="D17" s="2">
        <v>-2943901</v>
      </c>
      <c r="E17" s="2">
        <v>-2514259</v>
      </c>
      <c r="F17" s="2">
        <v>-2192011</v>
      </c>
      <c r="G17" s="2">
        <v>-2181858.1799999997</v>
      </c>
      <c r="H17" s="2">
        <v>-2742515</v>
      </c>
      <c r="I17" s="2">
        <v>-2562094</v>
      </c>
      <c r="J17" s="2">
        <v>-2260221.316222833</v>
      </c>
      <c r="K17" s="2">
        <v>-2954150.4799999995</v>
      </c>
    </row>
    <row r="18" spans="2:11" x14ac:dyDescent="0.2">
      <c r="B18" s="1" t="s">
        <v>4</v>
      </c>
      <c r="C18" s="1" t="s">
        <v>10</v>
      </c>
      <c r="D18" s="2">
        <v>-3878424</v>
      </c>
      <c r="E18" s="2">
        <v>-2992757</v>
      </c>
      <c r="F18" s="2">
        <v>-3263263</v>
      </c>
      <c r="G18" s="2">
        <v>-3092934.08</v>
      </c>
      <c r="H18" s="2">
        <v>-4209444</v>
      </c>
      <c r="I18" s="2">
        <v>-3601656</v>
      </c>
      <c r="J18" s="2">
        <v>-3259014.9521517111</v>
      </c>
      <c r="K18" s="2">
        <v>-4581197.290000001</v>
      </c>
    </row>
    <row r="19" spans="2:11" x14ac:dyDescent="0.2">
      <c r="C19" s="9" t="s">
        <v>55</v>
      </c>
      <c r="D19" s="10">
        <v>-614285</v>
      </c>
      <c r="E19" s="10">
        <v>-672986</v>
      </c>
      <c r="F19" s="10">
        <v>-552233</v>
      </c>
      <c r="G19" s="10">
        <v>-420307.29000000004</v>
      </c>
      <c r="H19" s="10">
        <v>-579480</v>
      </c>
      <c r="I19" s="10">
        <v>-479298</v>
      </c>
      <c r="J19" s="10">
        <v>-366771.15</v>
      </c>
      <c r="K19" s="10">
        <v>-649926.31000000006</v>
      </c>
    </row>
    <row r="20" spans="2:11" x14ac:dyDescent="0.2">
      <c r="B20" s="16" t="s">
        <v>5</v>
      </c>
      <c r="C20" s="16" t="s">
        <v>65</v>
      </c>
      <c r="D20" s="17">
        <f t="shared" ref="D20:K20" si="1">SUM(D16:D19)</f>
        <v>-7592883</v>
      </c>
      <c r="E20" s="17">
        <f t="shared" si="1"/>
        <v>-6392744</v>
      </c>
      <c r="F20" s="17">
        <f t="shared" si="1"/>
        <v>-6388556</v>
      </c>
      <c r="G20" s="17">
        <f t="shared" si="1"/>
        <v>-6310734.5300000003</v>
      </c>
      <c r="H20" s="17">
        <f t="shared" si="1"/>
        <v>-8385633</v>
      </c>
      <c r="I20" s="17">
        <f t="shared" si="1"/>
        <v>-7281166</v>
      </c>
      <c r="J20" s="17">
        <f t="shared" si="1"/>
        <v>-6311216.2489559464</v>
      </c>
      <c r="K20" s="17">
        <f t="shared" si="1"/>
        <v>-8952737.2800000012</v>
      </c>
    </row>
    <row r="21" spans="2:11" x14ac:dyDescent="0.2">
      <c r="C21" s="22" t="s">
        <v>72</v>
      </c>
      <c r="D21" s="18">
        <f t="shared" ref="D21:J21" si="2">-D20/D$13-D23</f>
        <v>5.3538115879727642E-2</v>
      </c>
      <c r="E21" s="18">
        <f t="shared" si="2"/>
        <v>4.1857807417676821E-2</v>
      </c>
      <c r="F21" s="18">
        <f t="shared" si="2"/>
        <v>4.143819852133885E-2</v>
      </c>
      <c r="G21" s="18">
        <f t="shared" si="2"/>
        <v>4.2182669160226831E-2</v>
      </c>
      <c r="H21" s="18">
        <f t="shared" si="2"/>
        <v>5.214175474165559E-2</v>
      </c>
      <c r="I21" s="18">
        <f t="shared" si="2"/>
        <v>4.7035107098845952E-2</v>
      </c>
      <c r="J21" s="18">
        <f t="shared" si="2"/>
        <v>4.2127223126761773E-2</v>
      </c>
      <c r="K21" s="18">
        <f>-K20/K$13-K23</f>
        <v>5.2505098342781831E-2</v>
      </c>
    </row>
    <row r="22" spans="2:11" x14ac:dyDescent="0.2">
      <c r="C22" s="22" t="s">
        <v>73</v>
      </c>
      <c r="D22" s="19">
        <f t="shared" ref="D22:J22" si="3">D21*D$2</f>
        <v>21.897089394808606</v>
      </c>
      <c r="E22" s="19">
        <f t="shared" si="3"/>
        <v>17.580279115424265</v>
      </c>
      <c r="F22" s="19">
        <f t="shared" si="3"/>
        <v>18.108492753825079</v>
      </c>
      <c r="G22" s="19">
        <f t="shared" si="3"/>
        <v>19.172023133323094</v>
      </c>
      <c r="H22" s="19">
        <f t="shared" si="3"/>
        <v>23.698427530082466</v>
      </c>
      <c r="I22" s="19">
        <f t="shared" si="3"/>
        <v>21.377456176425486</v>
      </c>
      <c r="J22" s="19">
        <f t="shared" si="3"/>
        <v>19.146822911113226</v>
      </c>
      <c r="K22" s="19">
        <f>K21*K$2</f>
        <v>26.095033876362571</v>
      </c>
    </row>
    <row r="23" spans="2:11" x14ac:dyDescent="0.2">
      <c r="C23" s="23" t="s">
        <v>72</v>
      </c>
      <c r="D23" s="24">
        <f>-D19/D$13</f>
        <v>4.7126459373614147E-3</v>
      </c>
      <c r="E23" s="24">
        <f t="shared" ref="E23:K23" si="4">-E19/E$13</f>
        <v>4.9249843057682964E-3</v>
      </c>
      <c r="F23" s="24">
        <f t="shared" si="4"/>
        <v>3.9208831800492394E-3</v>
      </c>
      <c r="G23" s="24">
        <f t="shared" si="4"/>
        <v>3.0099146695684365E-3</v>
      </c>
      <c r="H23" s="24">
        <f t="shared" si="4"/>
        <v>3.8706779174959272E-3</v>
      </c>
      <c r="I23" s="24">
        <f t="shared" si="4"/>
        <v>3.3143590499349102E-3</v>
      </c>
      <c r="J23" s="24">
        <f t="shared" si="4"/>
        <v>2.5992417820837068E-3</v>
      </c>
      <c r="K23" s="24">
        <f t="shared" si="4"/>
        <v>4.1099869604897567E-3</v>
      </c>
    </row>
    <row r="24" spans="2:11" x14ac:dyDescent="0.2">
      <c r="C24" s="25" t="s">
        <v>73</v>
      </c>
      <c r="D24" s="26">
        <f t="shared" ref="D24:J24" si="5">D23*D$2</f>
        <v>1.9274721883808186</v>
      </c>
      <c r="E24" s="26">
        <f t="shared" si="5"/>
        <v>2.0684934084226847</v>
      </c>
      <c r="F24" s="26">
        <f t="shared" si="5"/>
        <v>1.7134259496815176</v>
      </c>
      <c r="G24" s="26">
        <f t="shared" si="5"/>
        <v>1.3680062173188543</v>
      </c>
      <c r="H24" s="26">
        <f t="shared" si="5"/>
        <v>1.759223113501899</v>
      </c>
      <c r="I24" s="26">
        <f t="shared" si="5"/>
        <v>1.5063761881954167</v>
      </c>
      <c r="J24" s="26">
        <f t="shared" si="5"/>
        <v>1.1813553899570448</v>
      </c>
      <c r="K24" s="26">
        <f>K23*K$2</f>
        <v>2.0426635193634093</v>
      </c>
    </row>
    <row r="26" spans="2:11" x14ac:dyDescent="0.2">
      <c r="B26" s="16" t="s">
        <v>18</v>
      </c>
    </row>
    <row r="27" spans="2:11" x14ac:dyDescent="0.2">
      <c r="B27" s="1" t="s">
        <v>19</v>
      </c>
      <c r="C27" s="1" t="s">
        <v>10</v>
      </c>
      <c r="D27" s="2">
        <v>-1105819</v>
      </c>
      <c r="E27" s="2">
        <v>-1362076</v>
      </c>
      <c r="F27" s="2">
        <v>-1279488</v>
      </c>
      <c r="G27" s="2">
        <v>-1163505.5900000001</v>
      </c>
      <c r="H27" s="2">
        <v>-1675809</v>
      </c>
      <c r="I27" s="2">
        <v>-1513407</v>
      </c>
      <c r="J27" s="2">
        <v>-1250341.2230302689</v>
      </c>
      <c r="K27" s="2">
        <v>-2017332.8800000006</v>
      </c>
    </row>
    <row r="28" spans="2:11" x14ac:dyDescent="0.2">
      <c r="B28" s="4" t="s">
        <v>20</v>
      </c>
      <c r="C28" s="4" t="s">
        <v>10</v>
      </c>
      <c r="D28" s="5">
        <v>-128664</v>
      </c>
      <c r="E28" s="5">
        <v>-134813</v>
      </c>
      <c r="F28" s="5">
        <v>-131819</v>
      </c>
      <c r="G28" s="5">
        <v>-111291.46</v>
      </c>
      <c r="H28" s="5">
        <v>-200447</v>
      </c>
      <c r="I28" s="5">
        <v>-206213</v>
      </c>
      <c r="J28" s="5">
        <v>-100320.13</v>
      </c>
      <c r="K28" s="5">
        <v>-70788</v>
      </c>
    </row>
    <row r="29" spans="2:11" x14ac:dyDescent="0.2">
      <c r="B29" s="16" t="s">
        <v>18</v>
      </c>
      <c r="C29" s="16" t="s">
        <v>65</v>
      </c>
      <c r="D29" s="17">
        <f>SUM(D27:D28)</f>
        <v>-1234483</v>
      </c>
      <c r="E29" s="17">
        <f t="shared" ref="E29:K29" si="6">SUM(E27:E28)</f>
        <v>-1496889</v>
      </c>
      <c r="F29" s="17">
        <f t="shared" si="6"/>
        <v>-1411307</v>
      </c>
      <c r="G29" s="17">
        <f t="shared" si="6"/>
        <v>-1274797.05</v>
      </c>
      <c r="H29" s="17">
        <f t="shared" si="6"/>
        <v>-1876256</v>
      </c>
      <c r="I29" s="17">
        <f t="shared" si="6"/>
        <v>-1719620</v>
      </c>
      <c r="J29" s="17">
        <f t="shared" si="6"/>
        <v>-1350661.353030269</v>
      </c>
      <c r="K29" s="17">
        <f t="shared" si="6"/>
        <v>-2088120.8800000006</v>
      </c>
    </row>
    <row r="30" spans="2:11" x14ac:dyDescent="0.2">
      <c r="C30" s="22" t="s">
        <v>72</v>
      </c>
      <c r="D30" s="18">
        <f>-D29/D$13</f>
        <v>9.4706549804923299E-3</v>
      </c>
      <c r="E30" s="18">
        <f t="shared" ref="E30:K30" si="7">-E29/E$13</f>
        <v>1.0954395533454186E-2</v>
      </c>
      <c r="F30" s="18">
        <f t="shared" si="7"/>
        <v>1.0020353506917826E-2</v>
      </c>
      <c r="G30" s="18">
        <f t="shared" si="7"/>
        <v>9.1291072812883338E-3</v>
      </c>
      <c r="H30" s="18">
        <f t="shared" si="7"/>
        <v>1.253258553663498E-2</v>
      </c>
      <c r="I30" s="18">
        <f t="shared" si="7"/>
        <v>1.189122030438072E-2</v>
      </c>
      <c r="J30" s="18">
        <f t="shared" si="7"/>
        <v>9.5718963234757894E-3</v>
      </c>
      <c r="K30" s="18">
        <f t="shared" si="7"/>
        <v>1.3204804078059861E-2</v>
      </c>
    </row>
    <row r="31" spans="2:11" x14ac:dyDescent="0.2">
      <c r="C31" s="22" t="s">
        <v>73</v>
      </c>
      <c r="D31" s="19">
        <f t="shared" ref="D31" si="8">D30*D$2</f>
        <v>3.873497887021363</v>
      </c>
      <c r="E31" s="19">
        <f t="shared" ref="E31" si="9">E30*E$2</f>
        <v>4.6008461240507579</v>
      </c>
      <c r="F31" s="19">
        <f t="shared" ref="F31" si="10">F30*F$2</f>
        <v>4.3788944825230898</v>
      </c>
      <c r="G31" s="19">
        <f t="shared" ref="G31" si="11">G30*G$2</f>
        <v>4.1491792593455479</v>
      </c>
      <c r="H31" s="19">
        <f t="shared" ref="H31" si="12">H30*H$2</f>
        <v>5.6960601264005986</v>
      </c>
      <c r="I31" s="19">
        <f t="shared" ref="I31" si="13">I30*I$2</f>
        <v>5.4045596283410369</v>
      </c>
      <c r="J31" s="19">
        <f t="shared" ref="J31" si="14">J30*J$2</f>
        <v>4.3504268790197465</v>
      </c>
      <c r="K31" s="19">
        <f>K30*K$2</f>
        <v>6.5627876267957515</v>
      </c>
    </row>
    <row r="33" spans="2:11" x14ac:dyDescent="0.2">
      <c r="B33" s="16" t="s">
        <v>8</v>
      </c>
    </row>
    <row r="34" spans="2:11" x14ac:dyDescent="0.2">
      <c r="B34" s="1" t="s">
        <v>69</v>
      </c>
      <c r="C34" s="1" t="s">
        <v>10</v>
      </c>
      <c r="D34" s="2">
        <v>-53289</v>
      </c>
      <c r="E34" s="2">
        <v>-39128</v>
      </c>
      <c r="F34" s="2">
        <v>-21040</v>
      </c>
      <c r="G34" s="2">
        <v>-869.72</v>
      </c>
      <c r="H34" s="2">
        <v>-36240</v>
      </c>
      <c r="I34" s="2">
        <v>-22150</v>
      </c>
      <c r="J34" s="2">
        <v>-20880.48</v>
      </c>
      <c r="K34" s="2">
        <v>-367530.7900000001</v>
      </c>
    </row>
    <row r="35" spans="2:11" x14ac:dyDescent="0.2">
      <c r="B35" s="1" t="s">
        <v>21</v>
      </c>
      <c r="C35" s="1" t="s">
        <v>10</v>
      </c>
      <c r="D35" s="2">
        <v>-8427799</v>
      </c>
      <c r="E35" s="2">
        <v>-8710949</v>
      </c>
      <c r="F35" s="2">
        <v>-8755969</v>
      </c>
      <c r="G35" s="2">
        <v>-6550438.1699999999</v>
      </c>
      <c r="H35" s="2">
        <v>-9045975</v>
      </c>
      <c r="I35" s="2">
        <v>-8572942</v>
      </c>
      <c r="J35" s="2">
        <v>-7650542.7624163656</v>
      </c>
      <c r="K35" s="2">
        <v>-10149596.299999997</v>
      </c>
    </row>
    <row r="36" spans="2:11" x14ac:dyDescent="0.2">
      <c r="B36" s="4"/>
      <c r="C36" s="4" t="s">
        <v>11</v>
      </c>
      <c r="D36" s="5">
        <v>3392811</v>
      </c>
      <c r="E36" s="5">
        <v>3609020</v>
      </c>
      <c r="F36" s="5">
        <v>3574488</v>
      </c>
      <c r="G36" s="5">
        <v>1356276.8399999999</v>
      </c>
      <c r="H36" s="5">
        <v>3675952</v>
      </c>
      <c r="I36" s="5">
        <v>3426470</v>
      </c>
      <c r="J36" s="5">
        <v>1605138.25</v>
      </c>
      <c r="K36" s="5">
        <v>4545888.8</v>
      </c>
    </row>
    <row r="37" spans="2:11" x14ac:dyDescent="0.2">
      <c r="B37" s="21" t="s">
        <v>21</v>
      </c>
      <c r="C37" s="21" t="s">
        <v>65</v>
      </c>
      <c r="D37" s="29">
        <f>SUM(D35:D36)</f>
        <v>-5034988</v>
      </c>
      <c r="E37" s="29">
        <f t="shared" ref="E37:K37" si="15">SUM(E35:E36)</f>
        <v>-5101929</v>
      </c>
      <c r="F37" s="29">
        <f t="shared" si="15"/>
        <v>-5181481</v>
      </c>
      <c r="G37" s="29">
        <f t="shared" si="15"/>
        <v>-5194161.33</v>
      </c>
      <c r="H37" s="29">
        <f t="shared" si="15"/>
        <v>-5370023</v>
      </c>
      <c r="I37" s="29">
        <f t="shared" si="15"/>
        <v>-5146472</v>
      </c>
      <c r="J37" s="29">
        <f t="shared" si="15"/>
        <v>-6045404.5124163656</v>
      </c>
      <c r="K37" s="29">
        <f t="shared" si="15"/>
        <v>-5603707.4999999972</v>
      </c>
    </row>
    <row r="38" spans="2:11" x14ac:dyDescent="0.2">
      <c r="B38" s="1" t="s">
        <v>9</v>
      </c>
      <c r="C38" s="1" t="s">
        <v>10</v>
      </c>
      <c r="D38" s="2">
        <v>-3628466</v>
      </c>
      <c r="E38" s="2">
        <v>-4050804</v>
      </c>
      <c r="F38" s="2">
        <v>-4184956</v>
      </c>
      <c r="G38" s="2">
        <v>-4886627.7600000007</v>
      </c>
      <c r="H38" s="2">
        <v>-4784358</v>
      </c>
      <c r="I38" s="2">
        <v>-3331125.1899999995</v>
      </c>
      <c r="J38" s="2">
        <v>-3895517.382328108</v>
      </c>
      <c r="K38" s="2">
        <v>-5276190.58</v>
      </c>
    </row>
    <row r="39" spans="2:11" s="6" customFormat="1" x14ac:dyDescent="0.2">
      <c r="C39" s="27" t="s">
        <v>74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-1418011.8100000003</v>
      </c>
      <c r="J39" s="28">
        <v>-1359076.7648000002</v>
      </c>
      <c r="K39" s="28">
        <v>0</v>
      </c>
    </row>
    <row r="40" spans="2:11" x14ac:dyDescent="0.2">
      <c r="C40" s="9" t="s">
        <v>56</v>
      </c>
      <c r="D40" s="10">
        <v>-1247824</v>
      </c>
      <c r="E40" s="10">
        <v>-785959</v>
      </c>
      <c r="F40" s="10">
        <v>-4085703</v>
      </c>
      <c r="G40" s="10">
        <v>-4278498.97</v>
      </c>
      <c r="H40" s="10">
        <v>-3077244</v>
      </c>
      <c r="I40" s="10">
        <v>-2602828</v>
      </c>
      <c r="J40" s="10">
        <v>-2703698.6500000004</v>
      </c>
      <c r="K40" s="10">
        <v>-2698384</v>
      </c>
    </row>
    <row r="41" spans="2:11" x14ac:dyDescent="0.2">
      <c r="B41" s="16" t="s">
        <v>8</v>
      </c>
      <c r="C41" s="16" t="s">
        <v>65</v>
      </c>
      <c r="D41" s="17">
        <f>SUM(D34,D37,D38,D40,D39)</f>
        <v>-9964567</v>
      </c>
      <c r="E41" s="17">
        <f t="shared" ref="E41:K41" si="16">SUM(E34,E37,E38,E40,E39)</f>
        <v>-9977820</v>
      </c>
      <c r="F41" s="17">
        <f t="shared" si="16"/>
        <v>-13473180</v>
      </c>
      <c r="G41" s="17">
        <f t="shared" si="16"/>
        <v>-14360157.780000001</v>
      </c>
      <c r="H41" s="17">
        <f t="shared" si="16"/>
        <v>-13267865</v>
      </c>
      <c r="I41" s="17">
        <f t="shared" si="16"/>
        <v>-12520587</v>
      </c>
      <c r="J41" s="17">
        <f t="shared" si="16"/>
        <v>-14024577.789544476</v>
      </c>
      <c r="K41" s="17">
        <f t="shared" si="16"/>
        <v>-13945812.869999997</v>
      </c>
    </row>
    <row r="42" spans="2:11" x14ac:dyDescent="0.2">
      <c r="C42" s="22" t="s">
        <v>72</v>
      </c>
      <c r="D42" s="18">
        <f t="shared" ref="D42" si="17">-D41/D$13-D44</f>
        <v>6.6872743898961473E-2</v>
      </c>
      <c r="E42" s="18">
        <f t="shared" ref="E42" si="18">-E41/E$13-E44</f>
        <v>6.7267032547190686E-2</v>
      </c>
      <c r="F42" s="18">
        <f t="shared" ref="F42" si="19">-F41/F$13-F44</f>
        <v>6.6651577635525386E-2</v>
      </c>
      <c r="G42" s="18">
        <f t="shared" ref="G42" si="20">-G41/G$13-G44</f>
        <v>7.2197017438843047E-2</v>
      </c>
      <c r="H42" s="18">
        <f t="shared" ref="H42" si="21">-H41/H$13-H44</f>
        <v>6.806897851568694E-2</v>
      </c>
      <c r="I42" s="18">
        <f t="shared" ref="I42" si="22">-I41/I$13-I44</f>
        <v>5.8775989095166931E-2</v>
      </c>
      <c r="J42" s="18">
        <f t="shared" ref="J42" si="23">-J41/J$13-J44</f>
        <v>7.0597518254357061E-2</v>
      </c>
      <c r="K42" s="18">
        <f>-K41/K$13-K44</f>
        <v>7.1126195821701738E-2</v>
      </c>
    </row>
    <row r="43" spans="2:11" x14ac:dyDescent="0.2">
      <c r="C43" s="22" t="s">
        <v>73</v>
      </c>
      <c r="D43" s="19">
        <f t="shared" ref="D43" si="24">D42*D$2</f>
        <v>27.350952254675242</v>
      </c>
      <c r="E43" s="19">
        <f t="shared" ref="E43" si="25">E42*E$2</f>
        <v>28.252153669820089</v>
      </c>
      <c r="F43" s="19">
        <f t="shared" ref="F43" si="26">F42*F$2</f>
        <v>29.126739426724594</v>
      </c>
      <c r="G43" s="19">
        <f t="shared" ref="G43" si="27">G42*G$2</f>
        <v>32.813544425954163</v>
      </c>
      <c r="H43" s="19">
        <f t="shared" ref="H43" si="28">H42*H$2</f>
        <v>30.937350735379713</v>
      </c>
      <c r="I43" s="19">
        <f t="shared" ref="I43" si="29">I42*I$2</f>
        <v>26.713687043753371</v>
      </c>
      <c r="J43" s="19">
        <f t="shared" ref="J43" si="30">J42*J$2</f>
        <v>32.086572046605284</v>
      </c>
      <c r="K43" s="19">
        <f>K42*K$2</f>
        <v>35.349719323385763</v>
      </c>
    </row>
    <row r="44" spans="2:11" x14ac:dyDescent="0.2">
      <c r="C44" s="23" t="s">
        <v>72</v>
      </c>
      <c r="D44" s="24">
        <f>(-D40-D39)/D$13</f>
        <v>9.5730039055846542E-3</v>
      </c>
      <c r="E44" s="24">
        <f t="shared" ref="E44:K44" si="31">(-E40-E39)/E$13</f>
        <v>5.7517329334894696E-3</v>
      </c>
      <c r="F44" s="24">
        <f t="shared" si="31"/>
        <v>2.9008704969418195E-2</v>
      </c>
      <c r="G44" s="24">
        <f t="shared" si="31"/>
        <v>3.0639289681452929E-2</v>
      </c>
      <c r="H44" s="24">
        <f t="shared" si="31"/>
        <v>2.0554670389913089E-2</v>
      </c>
      <c r="I44" s="24">
        <f t="shared" si="31"/>
        <v>2.7804219530672081E-2</v>
      </c>
      <c r="J44" s="24">
        <f t="shared" si="31"/>
        <v>2.8792165385338034E-2</v>
      </c>
      <c r="K44" s="24">
        <f t="shared" si="31"/>
        <v>1.7063969997451234E-2</v>
      </c>
    </row>
    <row r="45" spans="2:11" x14ac:dyDescent="0.2">
      <c r="C45" s="25" t="s">
        <v>73</v>
      </c>
      <c r="D45" s="26">
        <f t="shared" ref="D45" si="32">D44*D$2</f>
        <v>3.9153585973841234</v>
      </c>
      <c r="E45" s="26">
        <f t="shared" ref="E45" si="33">E44*E$2</f>
        <v>2.4157278320655773</v>
      </c>
      <c r="F45" s="26">
        <f t="shared" ref="F45" si="34">F44*F$2</f>
        <v>12.67680407163575</v>
      </c>
      <c r="G45" s="26">
        <f t="shared" ref="G45" si="35">G44*G$2</f>
        <v>13.925557160220356</v>
      </c>
      <c r="H45" s="26">
        <f t="shared" ref="H45" si="36">H44*H$2</f>
        <v>9.3420976922154981</v>
      </c>
      <c r="I45" s="26">
        <f t="shared" ref="I45" si="37">I44*I$2</f>
        <v>12.637017776690461</v>
      </c>
      <c r="J45" s="26">
        <f t="shared" ref="J45" si="38">J44*J$2</f>
        <v>13.086039167636136</v>
      </c>
      <c r="K45" s="26">
        <f>K44*K$2</f>
        <v>8.4807930887332628</v>
      </c>
    </row>
    <row r="47" spans="2:11" x14ac:dyDescent="0.2">
      <c r="B47" s="16" t="s">
        <v>22</v>
      </c>
    </row>
    <row r="48" spans="2:11" x14ac:dyDescent="0.2">
      <c r="B48" s="1" t="s">
        <v>23</v>
      </c>
      <c r="C48" s="1" t="s">
        <v>10</v>
      </c>
      <c r="D48" s="2">
        <v>-2739902</v>
      </c>
      <c r="E48" s="2">
        <v>-2837984</v>
      </c>
      <c r="F48" s="2">
        <v>-2952302</v>
      </c>
      <c r="G48" s="2">
        <v>-1892375.16</v>
      </c>
      <c r="H48" s="2">
        <v>-3061568</v>
      </c>
      <c r="I48" s="2">
        <v>-2714179</v>
      </c>
      <c r="J48" s="2">
        <v>-1959735.405686294</v>
      </c>
      <c r="K48" s="2">
        <v>-2518586.7599999998</v>
      </c>
    </row>
    <row r="49" spans="2:11" x14ac:dyDescent="0.2">
      <c r="B49" s="4"/>
      <c r="C49" s="4" t="s">
        <v>11</v>
      </c>
      <c r="D49" s="5">
        <v>304096</v>
      </c>
      <c r="E49" s="5">
        <v>331579</v>
      </c>
      <c r="F49" s="5">
        <v>403853</v>
      </c>
      <c r="G49" s="5">
        <v>97404.33</v>
      </c>
      <c r="H49" s="5">
        <v>362004</v>
      </c>
      <c r="I49" s="5">
        <v>124008</v>
      </c>
      <c r="J49" s="5">
        <v>35763.670000000006</v>
      </c>
      <c r="K49" s="5">
        <v>40000</v>
      </c>
    </row>
    <row r="50" spans="2:11" x14ac:dyDescent="0.2">
      <c r="B50" s="16" t="s">
        <v>22</v>
      </c>
      <c r="C50" s="16" t="s">
        <v>65</v>
      </c>
      <c r="D50" s="17">
        <f>SUM(D48:D49)</f>
        <v>-2435806</v>
      </c>
      <c r="E50" s="17">
        <f t="shared" ref="E50:K50" si="39">SUM(E48:E49)</f>
        <v>-2506405</v>
      </c>
      <c r="F50" s="17">
        <f t="shared" si="39"/>
        <v>-2548449</v>
      </c>
      <c r="G50" s="17">
        <f t="shared" si="39"/>
        <v>-1794970.8299999998</v>
      </c>
      <c r="H50" s="17">
        <f t="shared" si="39"/>
        <v>-2699564</v>
      </c>
      <c r="I50" s="17">
        <f t="shared" si="39"/>
        <v>-2590171</v>
      </c>
      <c r="J50" s="17">
        <f t="shared" si="39"/>
        <v>-1923971.735686294</v>
      </c>
      <c r="K50" s="17">
        <f t="shared" si="39"/>
        <v>-2478586.7599999998</v>
      </c>
    </row>
    <row r="51" spans="2:11" x14ac:dyDescent="0.2">
      <c r="C51" s="22" t="s">
        <v>72</v>
      </c>
      <c r="D51" s="18">
        <f>-D50/D$13</f>
        <v>1.8686914461692142E-2</v>
      </c>
      <c r="E51" s="18">
        <f t="shared" ref="E51" si="40">-E50/E$13</f>
        <v>1.8342142762106769E-2</v>
      </c>
      <c r="F51" s="18">
        <f t="shared" ref="F51" si="41">-F50/F$13</f>
        <v>1.8094121175868345E-2</v>
      </c>
      <c r="G51" s="18">
        <f t="shared" ref="G51" si="42">-G50/G$13</f>
        <v>1.2854188259890594E-2</v>
      </c>
      <c r="H51" s="18">
        <f t="shared" ref="H51" si="43">-H50/H$13</f>
        <v>1.8031929940061735E-2</v>
      </c>
      <c r="I51" s="18">
        <f t="shared" ref="I51" si="44">-I50/I$13</f>
        <v>1.7911104771413517E-2</v>
      </c>
      <c r="J51" s="18">
        <f t="shared" ref="J51" si="45">-J50/J$13</f>
        <v>1.3634844842469003E-2</v>
      </c>
      <c r="K51" s="18">
        <f t="shared" ref="K51" si="46">-K50/K$13</f>
        <v>1.5674021973418113E-2</v>
      </c>
    </row>
    <row r="52" spans="2:11" x14ac:dyDescent="0.2">
      <c r="C52" s="22" t="s">
        <v>73</v>
      </c>
      <c r="D52" s="19">
        <f t="shared" ref="D52" si="47">D51*D$2</f>
        <v>7.6429480148320863</v>
      </c>
      <c r="E52" s="19">
        <f t="shared" ref="E52" si="48">E51*E$2</f>
        <v>7.703699960084843</v>
      </c>
      <c r="F52" s="19">
        <f t="shared" ref="F52" si="49">F51*F$2</f>
        <v>7.907130953854467</v>
      </c>
      <c r="G52" s="19">
        <f t="shared" ref="G52" si="50">G51*G$2</f>
        <v>5.8422285641202754</v>
      </c>
      <c r="H52" s="19">
        <f t="shared" ref="H52" si="51">H51*H$2</f>
        <v>8.1955121577580581</v>
      </c>
      <c r="I52" s="19">
        <f t="shared" ref="I52" si="52">I51*I$2</f>
        <v>8.1405971186074435</v>
      </c>
      <c r="J52" s="19">
        <f t="shared" ref="J52" si="53">J51*J$2</f>
        <v>6.1970369809021619</v>
      </c>
      <c r="K52" s="19">
        <f>K51*K$2</f>
        <v>7.7899889207888027</v>
      </c>
    </row>
    <row r="54" spans="2:11" x14ac:dyDescent="0.2">
      <c r="B54" s="16" t="s">
        <v>24</v>
      </c>
    </row>
    <row r="55" spans="2:11" x14ac:dyDescent="0.2">
      <c r="B55" s="1" t="s">
        <v>25</v>
      </c>
      <c r="C55" s="1" t="s">
        <v>10</v>
      </c>
      <c r="D55" s="2">
        <v>-8389597</v>
      </c>
      <c r="E55" s="2">
        <v>-8467938</v>
      </c>
      <c r="F55" s="2">
        <v>-8573496</v>
      </c>
      <c r="G55" s="2">
        <v>-6684668.0899999989</v>
      </c>
      <c r="H55" s="2">
        <v>-9223180</v>
      </c>
      <c r="I55" s="2">
        <v>-8519564</v>
      </c>
      <c r="J55" s="2">
        <v>-7720509.6144527588</v>
      </c>
      <c r="K55" s="2">
        <v>-9532880.3200000022</v>
      </c>
    </row>
    <row r="56" spans="2:11" x14ac:dyDescent="0.2">
      <c r="B56" s="4"/>
      <c r="C56" s="4" t="s">
        <v>11</v>
      </c>
      <c r="D56" s="5">
        <v>6408760</v>
      </c>
      <c r="E56" s="5">
        <v>6948940</v>
      </c>
      <c r="F56" s="5">
        <v>7139604</v>
      </c>
      <c r="G56" s="5">
        <v>5181182.5699999994</v>
      </c>
      <c r="H56" s="5">
        <v>7718562</v>
      </c>
      <c r="I56" s="5">
        <v>7001928</v>
      </c>
      <c r="J56" s="5">
        <v>5843104.0599999996</v>
      </c>
      <c r="K56" s="5">
        <v>7529644</v>
      </c>
    </row>
    <row r="57" spans="2:11" x14ac:dyDescent="0.2">
      <c r="B57" s="16" t="s">
        <v>24</v>
      </c>
      <c r="C57" s="16" t="s">
        <v>65</v>
      </c>
      <c r="D57" s="17">
        <f>SUM(D55:D56)</f>
        <v>-1980837</v>
      </c>
      <c r="E57" s="17">
        <f t="shared" ref="E57:K57" si="54">SUM(E55:E56)</f>
        <v>-1518998</v>
      </c>
      <c r="F57" s="17">
        <f t="shared" si="54"/>
        <v>-1433892</v>
      </c>
      <c r="G57" s="17">
        <f t="shared" si="54"/>
        <v>-1503485.5199999996</v>
      </c>
      <c r="H57" s="17">
        <f t="shared" si="54"/>
        <v>-1504618</v>
      </c>
      <c r="I57" s="17">
        <f t="shared" si="54"/>
        <v>-1517636</v>
      </c>
      <c r="J57" s="17">
        <f t="shared" si="54"/>
        <v>-1877405.5544527592</v>
      </c>
      <c r="K57" s="17">
        <f t="shared" si="54"/>
        <v>-2003236.3200000022</v>
      </c>
    </row>
    <row r="58" spans="2:11" x14ac:dyDescent="0.2">
      <c r="C58" s="22" t="s">
        <v>72</v>
      </c>
      <c r="D58" s="18">
        <f>-D57/D$13</f>
        <v>1.5196502341136724E-2</v>
      </c>
      <c r="E58" s="18">
        <f t="shared" ref="E58" si="55">-E57/E$13</f>
        <v>1.1116191585699301E-2</v>
      </c>
      <c r="F58" s="18">
        <f t="shared" ref="F58" si="56">-F57/F$13</f>
        <v>1.0180708188042301E-2</v>
      </c>
      <c r="G58" s="18">
        <f t="shared" ref="G58" si="57">-G57/G$13</f>
        <v>1.0766796650450024E-2</v>
      </c>
      <c r="H58" s="18">
        <f t="shared" ref="H58" si="58">-H57/H$13</f>
        <v>1.0050203055958596E-2</v>
      </c>
      <c r="I58" s="18">
        <f t="shared" ref="I58" si="59">-I57/I$13</f>
        <v>1.0494495305857769E-2</v>
      </c>
      <c r="J58" s="18">
        <f t="shared" ref="J58" si="60">-J57/J$13</f>
        <v>1.3304838614077578E-2</v>
      </c>
      <c r="K58" s="18">
        <f t="shared" ref="K58" si="61">-K57/K$13</f>
        <v>1.2668013322894243E-2</v>
      </c>
    </row>
    <row r="59" spans="2:11" x14ac:dyDescent="0.2">
      <c r="C59" s="22" t="s">
        <v>73</v>
      </c>
      <c r="D59" s="19">
        <f t="shared" ref="D59" si="62">D58*D$2</f>
        <v>6.2153694575249201</v>
      </c>
      <c r="E59" s="19">
        <f t="shared" ref="E59" si="63">E58*E$2</f>
        <v>4.6688004659937059</v>
      </c>
      <c r="F59" s="19">
        <f t="shared" ref="F59" si="64">F58*F$2</f>
        <v>4.4489694781744857</v>
      </c>
      <c r="G59" s="19">
        <f t="shared" ref="G59" si="65">G58*G$2</f>
        <v>4.8935090776295356</v>
      </c>
      <c r="H59" s="19">
        <f t="shared" ref="H59" si="66">H58*H$2</f>
        <v>4.5678172889331821</v>
      </c>
      <c r="I59" s="19">
        <f t="shared" ref="I59" si="67">I58*I$2</f>
        <v>4.7697481165123561</v>
      </c>
      <c r="J59" s="19">
        <f t="shared" ref="J59" si="68">J58*J$2</f>
        <v>6.0470491500982595</v>
      </c>
      <c r="K59" s="19">
        <f>K58*K$2</f>
        <v>6.296002621478439</v>
      </c>
    </row>
    <row r="61" spans="2:11" x14ac:dyDescent="0.2">
      <c r="B61" s="16" t="s">
        <v>26</v>
      </c>
    </row>
    <row r="62" spans="2:11" x14ac:dyDescent="0.2">
      <c r="B62" s="1" t="s">
        <v>27</v>
      </c>
      <c r="C62" s="1" t="s">
        <v>10</v>
      </c>
      <c r="D62" s="2">
        <v>-9789035</v>
      </c>
      <c r="E62" s="2">
        <v>-11135308</v>
      </c>
      <c r="F62" s="2">
        <v>-12733459</v>
      </c>
      <c r="G62" s="2">
        <v>-8273025.8900000034</v>
      </c>
      <c r="H62" s="2">
        <v>-11498404</v>
      </c>
      <c r="I62" s="2">
        <v>-10991446</v>
      </c>
      <c r="J62" s="2">
        <v>-9923350.4392513949</v>
      </c>
      <c r="K62" s="2">
        <v>-12426494.950000001</v>
      </c>
    </row>
    <row r="63" spans="2:11" x14ac:dyDescent="0.2">
      <c r="B63" s="4"/>
      <c r="C63" s="4" t="s">
        <v>11</v>
      </c>
      <c r="D63" s="5">
        <v>2722884</v>
      </c>
      <c r="E63" s="5">
        <v>2613905</v>
      </c>
      <c r="F63" s="5">
        <v>2576852</v>
      </c>
      <c r="G63" s="5">
        <v>987204.21000000008</v>
      </c>
      <c r="H63" s="5">
        <v>2163992</v>
      </c>
      <c r="I63" s="5">
        <v>1564602</v>
      </c>
      <c r="J63" s="5">
        <v>1522284.1439999999</v>
      </c>
      <c r="K63" s="5">
        <v>2237835.59</v>
      </c>
    </row>
    <row r="64" spans="2:11" x14ac:dyDescent="0.2">
      <c r="B64" s="21" t="s">
        <v>27</v>
      </c>
      <c r="C64" s="21" t="s">
        <v>65</v>
      </c>
      <c r="D64" s="29">
        <f>SUM(D62:D63)</f>
        <v>-7066151</v>
      </c>
      <c r="E64" s="29">
        <f t="shared" ref="E64:K64" si="69">SUM(E62:E63)</f>
        <v>-8521403</v>
      </c>
      <c r="F64" s="29">
        <f t="shared" si="69"/>
        <v>-10156607</v>
      </c>
      <c r="G64" s="29">
        <f t="shared" si="69"/>
        <v>-7285821.6800000034</v>
      </c>
      <c r="H64" s="29">
        <f t="shared" si="69"/>
        <v>-9334412</v>
      </c>
      <c r="I64" s="29">
        <f t="shared" si="69"/>
        <v>-9426844</v>
      </c>
      <c r="J64" s="29">
        <f t="shared" si="69"/>
        <v>-8401066.2952513956</v>
      </c>
      <c r="K64" s="29">
        <f t="shared" si="69"/>
        <v>-10188659.360000001</v>
      </c>
    </row>
    <row r="65" spans="2:11" x14ac:dyDescent="0.2">
      <c r="B65" s="1" t="s">
        <v>28</v>
      </c>
      <c r="C65" s="1" t="s">
        <v>10</v>
      </c>
      <c r="D65" s="2">
        <v>-4935864</v>
      </c>
      <c r="E65" s="2">
        <v>-5973579</v>
      </c>
      <c r="F65" s="2">
        <v>-6712548</v>
      </c>
      <c r="G65" s="2">
        <v>-4330035.0699999994</v>
      </c>
      <c r="H65" s="2">
        <v>-5470567</v>
      </c>
      <c r="I65" s="2">
        <v>-5289432</v>
      </c>
      <c r="J65" s="2">
        <v>-5474351.641296966</v>
      </c>
      <c r="K65" s="2">
        <v>-5950758.8100000005</v>
      </c>
    </row>
    <row r="66" spans="2:11" x14ac:dyDescent="0.2">
      <c r="B66" s="4"/>
      <c r="C66" s="4" t="s">
        <v>11</v>
      </c>
      <c r="D66" s="5">
        <v>440265</v>
      </c>
      <c r="E66" s="5">
        <v>526550</v>
      </c>
      <c r="F66" s="5">
        <v>342320</v>
      </c>
      <c r="G66" s="5">
        <v>79689.63</v>
      </c>
      <c r="H66" s="5">
        <v>295763</v>
      </c>
      <c r="I66" s="5">
        <v>165406</v>
      </c>
      <c r="J66" s="5">
        <v>201216.06</v>
      </c>
      <c r="K66" s="5">
        <v>185317.05</v>
      </c>
    </row>
    <row r="67" spans="2:11" x14ac:dyDescent="0.2">
      <c r="B67" s="21" t="s">
        <v>28</v>
      </c>
      <c r="C67" s="21" t="s">
        <v>65</v>
      </c>
      <c r="D67" s="29">
        <f>SUM(D65:D66)</f>
        <v>-4495599</v>
      </c>
      <c r="E67" s="29">
        <f t="shared" ref="E67:K67" si="70">SUM(E65:E66)</f>
        <v>-5447029</v>
      </c>
      <c r="F67" s="29">
        <f t="shared" si="70"/>
        <v>-6370228</v>
      </c>
      <c r="G67" s="29">
        <f t="shared" si="70"/>
        <v>-4250345.4399999995</v>
      </c>
      <c r="H67" s="29">
        <f t="shared" si="70"/>
        <v>-5174804</v>
      </c>
      <c r="I67" s="29">
        <f t="shared" si="70"/>
        <v>-5124026</v>
      </c>
      <c r="J67" s="29">
        <f t="shared" si="70"/>
        <v>-5273135.5812969664</v>
      </c>
      <c r="K67" s="29">
        <f t="shared" si="70"/>
        <v>-5765441.7600000007</v>
      </c>
    </row>
    <row r="68" spans="2:11" x14ac:dyDescent="0.2">
      <c r="B68" s="16" t="s">
        <v>26</v>
      </c>
      <c r="C68" s="16" t="s">
        <v>65</v>
      </c>
      <c r="D68" s="17">
        <f>SUM(D67,D64)</f>
        <v>-11561750</v>
      </c>
      <c r="E68" s="17">
        <f t="shared" ref="E68:K68" si="71">SUM(E67,E64)</f>
        <v>-13968432</v>
      </c>
      <c r="F68" s="17">
        <f t="shared" si="71"/>
        <v>-16526835</v>
      </c>
      <c r="G68" s="17">
        <f t="shared" si="71"/>
        <v>-11536167.120000003</v>
      </c>
      <c r="H68" s="17">
        <f t="shared" si="71"/>
        <v>-14509216</v>
      </c>
      <c r="I68" s="17">
        <f t="shared" si="71"/>
        <v>-14550870</v>
      </c>
      <c r="J68" s="17">
        <f t="shared" si="71"/>
        <v>-13674201.876548361</v>
      </c>
      <c r="K68" s="17">
        <f t="shared" si="71"/>
        <v>-15954101.120000001</v>
      </c>
    </row>
    <row r="69" spans="2:11" x14ac:dyDescent="0.2">
      <c r="C69" s="22" t="s">
        <v>72</v>
      </c>
      <c r="D69" s="18">
        <f>-D68/D$13</f>
        <v>8.8698949455526893E-2</v>
      </c>
      <c r="E69" s="18">
        <f t="shared" ref="E69" si="72">-E68/E$13</f>
        <v>0.10222249552916651</v>
      </c>
      <c r="F69" s="18">
        <f t="shared" ref="F69" si="73">-F68/F$13</f>
        <v>0.11734139280149695</v>
      </c>
      <c r="G69" s="18">
        <f t="shared" ref="G69" si="74">-G68/G$13</f>
        <v>8.2613077315601802E-2</v>
      </c>
      <c r="H69" s="18">
        <f t="shared" ref="H69" si="75">-H68/H$13</f>
        <v>9.691534129112063E-2</v>
      </c>
      <c r="I69" s="18">
        <f t="shared" ref="I69" si="76">-I68/I$13</f>
        <v>0.10061967224759208</v>
      </c>
      <c r="J69" s="18">
        <f t="shared" ref="J69" si="77">-J68/J$13</f>
        <v>9.6906631980655869E-2</v>
      </c>
      <c r="K69" s="18">
        <f t="shared" ref="K69" si="78">-K68/K$13</f>
        <v>0.10089012640453811</v>
      </c>
    </row>
    <row r="70" spans="2:11" x14ac:dyDescent="0.2">
      <c r="C70" s="22" t="s">
        <v>73</v>
      </c>
      <c r="D70" s="19">
        <f t="shared" ref="D70" si="79">D69*D$2</f>
        <v>36.277870327310502</v>
      </c>
      <c r="E70" s="19">
        <f t="shared" ref="E70" si="80">E69*E$2</f>
        <v>42.933448122249935</v>
      </c>
      <c r="F70" s="19">
        <f t="shared" ref="F70" si="81">F69*F$2</f>
        <v>51.278188654254173</v>
      </c>
      <c r="G70" s="19">
        <f t="shared" ref="G70" si="82">G69*G$2</f>
        <v>37.547643639941022</v>
      </c>
      <c r="H70" s="19">
        <f t="shared" ref="H70" si="83">H69*H$2</f>
        <v>44.048022616814329</v>
      </c>
      <c r="I70" s="19">
        <f t="shared" ref="I70" si="84">I69*I$2</f>
        <v>45.731641036530597</v>
      </c>
      <c r="J70" s="19">
        <f t="shared" ref="J70" si="85">J69*J$2</f>
        <v>44.04406423520809</v>
      </c>
      <c r="K70" s="19">
        <f>K69*K$2</f>
        <v>50.142392823055438</v>
      </c>
    </row>
    <row r="72" spans="2:11" x14ac:dyDescent="0.2">
      <c r="B72" s="16" t="s">
        <v>29</v>
      </c>
    </row>
    <row r="73" spans="2:11" x14ac:dyDescent="0.2">
      <c r="B73" s="1" t="s">
        <v>67</v>
      </c>
      <c r="C73" s="1" t="s">
        <v>10</v>
      </c>
      <c r="D73" s="2">
        <v>-4121188</v>
      </c>
      <c r="E73" s="2">
        <v>-5074889</v>
      </c>
      <c r="F73" s="2">
        <v>-4993259</v>
      </c>
      <c r="G73" s="2">
        <v>-3430796.290000001</v>
      </c>
      <c r="H73" s="2">
        <v>-4605272</v>
      </c>
      <c r="I73" s="2">
        <v>-4815647</v>
      </c>
      <c r="J73" s="2">
        <v>-4025014.2284688763</v>
      </c>
      <c r="K73" s="2">
        <v>-5713236.6900000004</v>
      </c>
    </row>
    <row r="74" spans="2:11" x14ac:dyDescent="0.2">
      <c r="B74" s="4"/>
      <c r="C74" s="4" t="s">
        <v>11</v>
      </c>
      <c r="D74" s="5">
        <v>299611</v>
      </c>
      <c r="E74" s="5">
        <v>462579</v>
      </c>
      <c r="F74" s="5">
        <v>293009</v>
      </c>
      <c r="G74" s="5">
        <v>47058.000000000007</v>
      </c>
      <c r="H74" s="5">
        <v>150000</v>
      </c>
      <c r="I74" s="5">
        <v>269335</v>
      </c>
      <c r="J74" s="5">
        <v>451888.48999999987</v>
      </c>
      <c r="K74" s="5">
        <v>250000</v>
      </c>
    </row>
    <row r="75" spans="2:11" x14ac:dyDescent="0.2">
      <c r="B75" s="21" t="s">
        <v>67</v>
      </c>
      <c r="C75" s="21" t="s">
        <v>65</v>
      </c>
      <c r="D75" s="29">
        <f>SUM(D73:D74)</f>
        <v>-3821577</v>
      </c>
      <c r="E75" s="29">
        <f t="shared" ref="E75:K75" si="86">SUM(E73:E74)</f>
        <v>-4612310</v>
      </c>
      <c r="F75" s="29">
        <f t="shared" si="86"/>
        <v>-4700250</v>
      </c>
      <c r="G75" s="29">
        <f t="shared" si="86"/>
        <v>-3383738.290000001</v>
      </c>
      <c r="H75" s="29">
        <f t="shared" si="86"/>
        <v>-4455272</v>
      </c>
      <c r="I75" s="29">
        <f t="shared" si="86"/>
        <v>-4546312</v>
      </c>
      <c r="J75" s="29">
        <f t="shared" si="86"/>
        <v>-3573125.7384688766</v>
      </c>
      <c r="K75" s="29">
        <f t="shared" si="86"/>
        <v>-5463236.6900000004</v>
      </c>
    </row>
    <row r="76" spans="2:11" x14ac:dyDescent="0.2">
      <c r="B76" s="1" t="s">
        <v>30</v>
      </c>
      <c r="C76" s="1" t="s">
        <v>10</v>
      </c>
      <c r="D76" s="2">
        <v>-12480822</v>
      </c>
      <c r="E76" s="2">
        <v>-14102514</v>
      </c>
      <c r="F76" s="2">
        <v>-14259217</v>
      </c>
      <c r="G76" s="2">
        <v>-9145241.8199999947</v>
      </c>
      <c r="H76" s="2">
        <v>-12695674</v>
      </c>
      <c r="I76" s="2">
        <v>-11384176</v>
      </c>
      <c r="J76" s="2">
        <v>-11442165.130469095</v>
      </c>
      <c r="K76" s="2">
        <v>-12700251.259999998</v>
      </c>
    </row>
    <row r="77" spans="2:11" x14ac:dyDescent="0.2">
      <c r="B77" s="4"/>
      <c r="C77" s="4" t="s">
        <v>11</v>
      </c>
      <c r="D77" s="5">
        <v>831081</v>
      </c>
      <c r="E77" s="5">
        <v>989716</v>
      </c>
      <c r="F77" s="5">
        <v>588558</v>
      </c>
      <c r="G77" s="5">
        <v>255871.79</v>
      </c>
      <c r="H77" s="5">
        <v>328623</v>
      </c>
      <c r="I77" s="5">
        <v>204832</v>
      </c>
      <c r="J77" s="5">
        <v>179026.12</v>
      </c>
      <c r="K77" s="5">
        <v>686475.77</v>
      </c>
    </row>
    <row r="78" spans="2:11" x14ac:dyDescent="0.2">
      <c r="B78" s="21" t="s">
        <v>30</v>
      </c>
      <c r="C78" s="21" t="s">
        <v>65</v>
      </c>
      <c r="D78" s="29">
        <f>SUM(D76:D77)</f>
        <v>-11649741</v>
      </c>
      <c r="E78" s="29">
        <f t="shared" ref="E78:K78" si="87">SUM(E76:E77)</f>
        <v>-13112798</v>
      </c>
      <c r="F78" s="29">
        <f t="shared" si="87"/>
        <v>-13670659</v>
      </c>
      <c r="G78" s="29">
        <f t="shared" si="87"/>
        <v>-8889370.0299999956</v>
      </c>
      <c r="H78" s="29">
        <f t="shared" si="87"/>
        <v>-12367051</v>
      </c>
      <c r="I78" s="29">
        <f t="shared" si="87"/>
        <v>-11179344</v>
      </c>
      <c r="J78" s="29">
        <f t="shared" si="87"/>
        <v>-11263139.010469096</v>
      </c>
      <c r="K78" s="29">
        <f t="shared" si="87"/>
        <v>-12013775.489999998</v>
      </c>
    </row>
    <row r="79" spans="2:11" x14ac:dyDescent="0.2">
      <c r="B79" s="16" t="s">
        <v>29</v>
      </c>
      <c r="C79" s="16" t="s">
        <v>65</v>
      </c>
      <c r="D79" s="17">
        <f>SUM(D78,D75)</f>
        <v>-15471318</v>
      </c>
      <c r="E79" s="17">
        <f t="shared" ref="E79" si="88">SUM(E78,E75)</f>
        <v>-17725108</v>
      </c>
      <c r="F79" s="17">
        <f t="shared" ref="F79" si="89">SUM(F78,F75)</f>
        <v>-18370909</v>
      </c>
      <c r="G79" s="17">
        <f t="shared" ref="G79" si="90">SUM(G78,G75)</f>
        <v>-12273108.319999997</v>
      </c>
      <c r="H79" s="17">
        <f t="shared" ref="H79" si="91">SUM(H78,H75)</f>
        <v>-16822323</v>
      </c>
      <c r="I79" s="17">
        <f t="shared" ref="I79" si="92">SUM(I78,I75)</f>
        <v>-15725656</v>
      </c>
      <c r="J79" s="17">
        <f t="shared" ref="J79" si="93">SUM(J78,J75)</f>
        <v>-14836264.748937972</v>
      </c>
      <c r="K79" s="17">
        <f t="shared" ref="K79" si="94">SUM(K78,K75)</f>
        <v>-17477012.18</v>
      </c>
    </row>
    <row r="80" spans="2:11" x14ac:dyDescent="0.2">
      <c r="C80" s="22" t="s">
        <v>72</v>
      </c>
      <c r="D80" s="18">
        <f>-D79/D$13</f>
        <v>0.11869220950914726</v>
      </c>
      <c r="E80" s="18">
        <f t="shared" ref="E80:K80" si="95">-E79/E$13</f>
        <v>0.12971425663839675</v>
      </c>
      <c r="F80" s="18">
        <f t="shared" si="95"/>
        <v>0.13043441464076791</v>
      </c>
      <c r="G80" s="18">
        <f t="shared" si="95"/>
        <v>8.7890478353517057E-2</v>
      </c>
      <c r="H80" s="18">
        <f t="shared" si="95"/>
        <v>0.11236590418493103</v>
      </c>
      <c r="I80" s="18">
        <f t="shared" si="95"/>
        <v>0.10874335023255516</v>
      </c>
      <c r="J80" s="18">
        <f t="shared" si="95"/>
        <v>0.10514196447974496</v>
      </c>
      <c r="K80" s="18">
        <f t="shared" si="95"/>
        <v>0.11052067144061402</v>
      </c>
    </row>
    <row r="81" spans="2:11" x14ac:dyDescent="0.2">
      <c r="C81" s="22" t="s">
        <v>73</v>
      </c>
      <c r="D81" s="19">
        <f t="shared" ref="D81" si="96">D80*D$2</f>
        <v>48.545113689241226</v>
      </c>
      <c r="E81" s="19">
        <f t="shared" ref="E81" si="97">E80*E$2</f>
        <v>54.479987788126635</v>
      </c>
      <c r="F81" s="19">
        <f t="shared" ref="F81" si="98">F80*F$2</f>
        <v>56.999839198015579</v>
      </c>
      <c r="G81" s="19">
        <f t="shared" ref="G81" si="99">G80*G$2</f>
        <v>39.946222411673503</v>
      </c>
      <c r="H81" s="19">
        <f t="shared" ref="H81" si="100">H80*H$2</f>
        <v>51.070303452051157</v>
      </c>
      <c r="I81" s="19">
        <f t="shared" ref="I81" si="101">I80*I$2</f>
        <v>49.423852680696321</v>
      </c>
      <c r="J81" s="19">
        <f t="shared" ref="J81" si="102">J80*J$2</f>
        <v>47.787022856044082</v>
      </c>
      <c r="K81" s="19">
        <f>K80*K$2</f>
        <v>54.928773705985165</v>
      </c>
    </row>
    <row r="83" spans="2:11" x14ac:dyDescent="0.2">
      <c r="B83" s="16" t="s">
        <v>31</v>
      </c>
    </row>
    <row r="84" spans="2:11" x14ac:dyDescent="0.2">
      <c r="B84" s="1" t="s">
        <v>32</v>
      </c>
      <c r="C84" s="1" t="s">
        <v>10</v>
      </c>
      <c r="D84" s="2">
        <v>-8203990</v>
      </c>
      <c r="E84" s="2">
        <v>-8176483</v>
      </c>
      <c r="F84" s="2">
        <v>-8500218</v>
      </c>
      <c r="G84" s="2">
        <v>-7362457.3899999997</v>
      </c>
      <c r="H84" s="2">
        <v>-9134115</v>
      </c>
      <c r="I84" s="2">
        <v>-8289948</v>
      </c>
      <c r="J84" s="2">
        <v>-8049881.3650267199</v>
      </c>
      <c r="K84" s="2">
        <v>-9287630.9099999983</v>
      </c>
    </row>
    <row r="85" spans="2:11" x14ac:dyDescent="0.2">
      <c r="B85" s="4"/>
      <c r="C85" s="4" t="s">
        <v>11</v>
      </c>
      <c r="D85" s="5">
        <v>2301866</v>
      </c>
      <c r="E85" s="5">
        <v>1153218</v>
      </c>
      <c r="F85" s="5">
        <v>1014884</v>
      </c>
      <c r="G85" s="5">
        <v>478379.19999999995</v>
      </c>
      <c r="H85" s="5">
        <v>1028800</v>
      </c>
      <c r="I85" s="5">
        <v>545487</v>
      </c>
      <c r="J85" s="5">
        <v>1058502.71</v>
      </c>
      <c r="K85" s="5">
        <v>852000</v>
      </c>
    </row>
    <row r="86" spans="2:11" x14ac:dyDescent="0.2">
      <c r="B86" s="16" t="s">
        <v>31</v>
      </c>
      <c r="C86" s="16" t="s">
        <v>65</v>
      </c>
      <c r="D86" s="17">
        <f>SUM(D84:D85)</f>
        <v>-5902124</v>
      </c>
      <c r="E86" s="17">
        <f t="shared" ref="E86:K86" si="103">SUM(E84:E85)</f>
        <v>-7023265</v>
      </c>
      <c r="F86" s="17">
        <f t="shared" si="103"/>
        <v>-7485334</v>
      </c>
      <c r="G86" s="17">
        <f t="shared" si="103"/>
        <v>-6884078.1899999995</v>
      </c>
      <c r="H86" s="17">
        <f t="shared" si="103"/>
        <v>-8105315</v>
      </c>
      <c r="I86" s="17">
        <f t="shared" si="103"/>
        <v>-7744461</v>
      </c>
      <c r="J86" s="17">
        <f t="shared" si="103"/>
        <v>-6991378.6550267199</v>
      </c>
      <c r="K86" s="17">
        <f t="shared" si="103"/>
        <v>-8435630.9099999983</v>
      </c>
    </row>
    <row r="87" spans="2:11" x14ac:dyDescent="0.2">
      <c r="C87" s="22" t="s">
        <v>72</v>
      </c>
      <c r="D87" s="18">
        <f>-D86/D$13</f>
        <v>4.5279667728177153E-2</v>
      </c>
      <c r="E87" s="18">
        <f t="shared" ref="E87:K87" si="104">-E86/E$13</f>
        <v>5.1397012568243278E-2</v>
      </c>
      <c r="F87" s="18">
        <f t="shared" si="104"/>
        <v>5.3146262859428341E-2</v>
      </c>
      <c r="G87" s="18">
        <f t="shared" si="104"/>
        <v>4.929842623128694E-2</v>
      </c>
      <c r="H87" s="18">
        <f t="shared" si="104"/>
        <v>5.4140028620225891E-2</v>
      </c>
      <c r="I87" s="18">
        <f t="shared" si="104"/>
        <v>5.3553164006980972E-2</v>
      </c>
      <c r="J87" s="18">
        <f t="shared" si="104"/>
        <v>4.9546654676938577E-2</v>
      </c>
      <c r="K87" s="18">
        <f t="shared" si="104"/>
        <v>5.3345021597301284E-2</v>
      </c>
    </row>
    <row r="88" spans="2:11" x14ac:dyDescent="0.2">
      <c r="C88" s="22" t="s">
        <v>73</v>
      </c>
      <c r="D88" s="19">
        <f t="shared" ref="D88" si="105">D87*D$2</f>
        <v>18.519384100824457</v>
      </c>
      <c r="E88" s="19">
        <f t="shared" ref="E88" si="106">E87*E$2</f>
        <v>21.586745278662178</v>
      </c>
      <c r="F88" s="19">
        <f t="shared" ref="F88" si="107">F87*F$2</f>
        <v>23.224916869570183</v>
      </c>
      <c r="G88" s="19">
        <f t="shared" ref="G88" si="108">G87*G$2</f>
        <v>22.406134722119916</v>
      </c>
      <c r="H88" s="19">
        <f t="shared" ref="H88" si="109">H87*H$2</f>
        <v>24.606643007892668</v>
      </c>
      <c r="I88" s="19">
        <f t="shared" ref="I88" si="110">I87*I$2</f>
        <v>24.339913041172853</v>
      </c>
      <c r="J88" s="19">
        <f t="shared" ref="J88" si="111">J87*J$2</f>
        <v>22.518954550668582</v>
      </c>
      <c r="K88" s="19">
        <f>K87*K$2</f>
        <v>26.512475733858739</v>
      </c>
    </row>
    <row r="89" spans="2:11" x14ac:dyDescent="0.2">
      <c r="D89" s="2"/>
      <c r="E89" s="2"/>
      <c r="F89" s="2"/>
      <c r="G89" s="2"/>
      <c r="H89" s="2"/>
      <c r="I89" s="2"/>
      <c r="J89" s="2"/>
      <c r="K89" s="2"/>
    </row>
    <row r="90" spans="2:11" x14ac:dyDescent="0.2">
      <c r="B90" s="16" t="s">
        <v>6</v>
      </c>
      <c r="D90" s="2"/>
      <c r="E90" s="2"/>
      <c r="F90" s="2"/>
      <c r="G90" s="2"/>
      <c r="H90" s="2"/>
      <c r="I90" s="2"/>
      <c r="J90" s="2"/>
      <c r="K90" s="2"/>
    </row>
    <row r="91" spans="2:11" x14ac:dyDescent="0.2">
      <c r="B91" s="1" t="s">
        <v>7</v>
      </c>
      <c r="C91" s="1" t="s">
        <v>10</v>
      </c>
      <c r="D91" s="2">
        <v>-1316103</v>
      </c>
      <c r="E91" s="2">
        <v>-1072148</v>
      </c>
      <c r="F91" s="2">
        <v>-1009349</v>
      </c>
      <c r="G91" s="2">
        <v>-1026794.6899999995</v>
      </c>
      <c r="H91" s="2">
        <v>-1217777</v>
      </c>
      <c r="I91" s="2">
        <v>-1562284</v>
      </c>
      <c r="J91" s="2">
        <v>-1633703.0099314833</v>
      </c>
      <c r="K91" s="2">
        <v>-1401786.6000000003</v>
      </c>
    </row>
    <row r="92" spans="2:11" x14ac:dyDescent="0.2">
      <c r="C92" s="9" t="s">
        <v>57</v>
      </c>
      <c r="D92" s="10">
        <v>-762725</v>
      </c>
      <c r="E92" s="10">
        <v>-1264715</v>
      </c>
      <c r="F92" s="10">
        <v>-8009000</v>
      </c>
      <c r="G92" s="10">
        <v>-7588839.4299999997</v>
      </c>
      <c r="H92" s="10">
        <v>-4599999</v>
      </c>
      <c r="I92" s="10">
        <v>-5071956</v>
      </c>
      <c r="J92" s="10">
        <v>-3803967</v>
      </c>
      <c r="K92" s="10">
        <v>-1954949.2799999996</v>
      </c>
    </row>
    <row r="93" spans="2:11" x14ac:dyDescent="0.2">
      <c r="B93" s="16" t="s">
        <v>6</v>
      </c>
      <c r="C93" s="16" t="s">
        <v>65</v>
      </c>
      <c r="D93" s="17">
        <f>SUM(D91:D92)</f>
        <v>-2078828</v>
      </c>
      <c r="E93" s="17">
        <f t="shared" ref="E93:K93" si="112">SUM(E91:E92)</f>
        <v>-2336863</v>
      </c>
      <c r="F93" s="17">
        <f t="shared" si="112"/>
        <v>-9018349</v>
      </c>
      <c r="G93" s="17">
        <f t="shared" si="112"/>
        <v>-8615634.1199999992</v>
      </c>
      <c r="H93" s="17">
        <f t="shared" si="112"/>
        <v>-5817776</v>
      </c>
      <c r="I93" s="17">
        <f t="shared" si="112"/>
        <v>-6634240</v>
      </c>
      <c r="J93" s="17">
        <f t="shared" si="112"/>
        <v>-5437670.0099314833</v>
      </c>
      <c r="K93" s="17">
        <f t="shared" si="112"/>
        <v>-3356735.88</v>
      </c>
    </row>
    <row r="94" spans="2:11" x14ac:dyDescent="0.2">
      <c r="C94" s="22" t="s">
        <v>72</v>
      </c>
      <c r="D94" s="18">
        <f t="shared" ref="D94" si="113">-D93/D$13-D96</f>
        <v>1.0096823878328737E-2</v>
      </c>
      <c r="E94" s="18">
        <f t="shared" ref="E94" si="114">-E93/E$13-E96</f>
        <v>7.846094975914604E-3</v>
      </c>
      <c r="F94" s="18">
        <f t="shared" ref="F94" si="115">-F93/F$13-F96</f>
        <v>7.1664306857785048E-3</v>
      </c>
      <c r="G94" s="18">
        <f t="shared" ref="G94" si="116">-G93/G$13-G96</f>
        <v>7.3531068187420098E-3</v>
      </c>
      <c r="H94" s="18">
        <f t="shared" ref="H94" si="117">-H93/H$13-H96</f>
        <v>8.1342281741120272E-3</v>
      </c>
      <c r="I94" s="18">
        <f t="shared" ref="I94" si="118">-I93/I$13-I96</f>
        <v>1.0803237472237541E-2</v>
      </c>
      <c r="J94" s="18">
        <f t="shared" ref="J94" si="119">-J93/J$13-J96</f>
        <v>1.1577762108415077E-2</v>
      </c>
      <c r="K94" s="18">
        <f>-K93/K$13-K96</f>
        <v>8.8645813513677767E-3</v>
      </c>
    </row>
    <row r="95" spans="2:11" x14ac:dyDescent="0.2">
      <c r="C95" s="22" t="s">
        <v>73</v>
      </c>
      <c r="D95" s="19">
        <f t="shared" ref="D95" si="120">D94*D$2</f>
        <v>4.1296009662364535</v>
      </c>
      <c r="E95" s="19">
        <f t="shared" ref="E95" si="121">E94*E$2</f>
        <v>3.2953598898841339</v>
      </c>
      <c r="F95" s="19">
        <f t="shared" ref="F95" si="122">F94*F$2</f>
        <v>3.1317302096852067</v>
      </c>
      <c r="G95" s="19">
        <f t="shared" ref="G95" si="123">G94*G$2</f>
        <v>3.3419870491182433</v>
      </c>
      <c r="H95" s="19">
        <f t="shared" ref="H95" si="124">H94*H$2</f>
        <v>3.6970067051339162</v>
      </c>
      <c r="I95" s="19">
        <f t="shared" ref="I95" si="125">I94*I$2</f>
        <v>4.9100714311319624</v>
      </c>
      <c r="J95" s="19">
        <f t="shared" ref="J95" si="126">J94*J$2</f>
        <v>5.262092878274653</v>
      </c>
      <c r="K95" s="19">
        <f>K94*K$2</f>
        <v>4.4056969316297847</v>
      </c>
    </row>
    <row r="96" spans="2:11" x14ac:dyDescent="0.2">
      <c r="C96" s="23" t="s">
        <v>72</v>
      </c>
      <c r="D96" s="24">
        <f>-D92/D$13</f>
        <v>5.8514417128433622E-3</v>
      </c>
      <c r="E96" s="24">
        <f t="shared" ref="E96:K96" si="127">-E92/E$13</f>
        <v>9.2553211006911745E-3</v>
      </c>
      <c r="F96" s="24">
        <f t="shared" si="127"/>
        <v>5.6864318845513323E-2</v>
      </c>
      <c r="G96" s="24">
        <f t="shared" si="127"/>
        <v>5.4345379366026146E-2</v>
      </c>
      <c r="H96" s="24">
        <f t="shared" si="127"/>
        <v>3.072602082867976E-2</v>
      </c>
      <c r="I96" s="24">
        <f t="shared" si="127"/>
        <v>3.5072717327156944E-2</v>
      </c>
      <c r="J96" s="24">
        <f t="shared" si="127"/>
        <v>2.6958036268849423E-2</v>
      </c>
      <c r="K96" s="24">
        <f t="shared" si="127"/>
        <v>1.2362657005251619E-2</v>
      </c>
    </row>
    <row r="97" spans="2:11" x14ac:dyDescent="0.2">
      <c r="C97" s="25" t="s">
        <v>73</v>
      </c>
      <c r="D97" s="26">
        <f t="shared" ref="D97" si="128">D96*D$2</f>
        <v>2.3932396605529354</v>
      </c>
      <c r="E97" s="26">
        <f t="shared" ref="E97" si="129">E96*E$2</f>
        <v>3.8872348622902932</v>
      </c>
      <c r="F97" s="26">
        <f t="shared" ref="F97" si="130">F96*F$2</f>
        <v>24.849707335489324</v>
      </c>
      <c r="G97" s="26">
        <f t="shared" ref="G97" si="131">G96*G$2</f>
        <v>24.699974921858882</v>
      </c>
      <c r="H97" s="26">
        <f t="shared" ref="H97" si="132">H96*H$2</f>
        <v>13.964976466634951</v>
      </c>
      <c r="I97" s="26">
        <f t="shared" ref="I97" si="133">I96*I$2</f>
        <v>15.940550025192831</v>
      </c>
      <c r="J97" s="26">
        <f t="shared" ref="J97" si="134">J96*J$2</f>
        <v>12.252427484192063</v>
      </c>
      <c r="K97" s="26">
        <f>K96*K$2</f>
        <v>6.1442405316100546</v>
      </c>
    </row>
    <row r="98" spans="2:11" x14ac:dyDescent="0.2">
      <c r="D98" s="2"/>
      <c r="E98" s="2"/>
      <c r="F98" s="2"/>
      <c r="G98" s="2"/>
      <c r="H98" s="2"/>
      <c r="I98" s="2"/>
      <c r="J98" s="2"/>
      <c r="K98" s="2"/>
    </row>
    <row r="99" spans="2:11" x14ac:dyDescent="0.2">
      <c r="B99" s="16" t="s">
        <v>33</v>
      </c>
      <c r="D99" s="2"/>
      <c r="E99" s="2"/>
      <c r="F99" s="2"/>
      <c r="G99" s="2"/>
      <c r="H99" s="2"/>
      <c r="I99" s="2"/>
      <c r="J99" s="2"/>
      <c r="K99" s="2"/>
    </row>
    <row r="100" spans="2:11" x14ac:dyDescent="0.2">
      <c r="B100" s="1" t="s">
        <v>34</v>
      </c>
      <c r="C100" s="1" t="s">
        <v>10</v>
      </c>
      <c r="D100" s="2">
        <v>-819928</v>
      </c>
      <c r="E100" s="2">
        <v>-945801</v>
      </c>
      <c r="F100" s="2">
        <v>-933713</v>
      </c>
      <c r="G100" s="2">
        <v>-744929.36000000022</v>
      </c>
      <c r="H100" s="2">
        <v>-1230164</v>
      </c>
      <c r="I100" s="2">
        <v>-1022226</v>
      </c>
      <c r="J100" s="2">
        <v>-674674.04173460696</v>
      </c>
      <c r="K100" s="2">
        <v>-1200765.8499999992</v>
      </c>
    </row>
    <row r="101" spans="2:11" x14ac:dyDescent="0.2">
      <c r="B101" s="4"/>
      <c r="C101" s="4" t="s">
        <v>11</v>
      </c>
      <c r="D101" s="5">
        <v>53500</v>
      </c>
      <c r="E101" s="5">
        <v>43970</v>
      </c>
      <c r="F101" s="5">
        <v>208008</v>
      </c>
      <c r="G101" s="5">
        <v>60330</v>
      </c>
      <c r="H101" s="5">
        <v>80000</v>
      </c>
      <c r="I101" s="5">
        <v>277361</v>
      </c>
      <c r="J101" s="5">
        <v>42180.6</v>
      </c>
      <c r="K101" s="5">
        <v>210000</v>
      </c>
    </row>
    <row r="102" spans="2:11" x14ac:dyDescent="0.2">
      <c r="B102" s="16" t="s">
        <v>33</v>
      </c>
      <c r="C102" s="16" t="s">
        <v>65</v>
      </c>
      <c r="D102" s="17">
        <f>SUM(D100:D101)</f>
        <v>-766428</v>
      </c>
      <c r="E102" s="17">
        <f t="shared" ref="E102:K102" si="135">SUM(E100:E101)</f>
        <v>-901831</v>
      </c>
      <c r="F102" s="17">
        <f t="shared" si="135"/>
        <v>-725705</v>
      </c>
      <c r="G102" s="17">
        <f t="shared" si="135"/>
        <v>-684599.36000000022</v>
      </c>
      <c r="H102" s="17">
        <f t="shared" si="135"/>
        <v>-1150164</v>
      </c>
      <c r="I102" s="17">
        <f t="shared" si="135"/>
        <v>-744865</v>
      </c>
      <c r="J102" s="17">
        <f t="shared" si="135"/>
        <v>-632493.44173460698</v>
      </c>
      <c r="K102" s="17">
        <f t="shared" si="135"/>
        <v>-990765.84999999916</v>
      </c>
    </row>
    <row r="103" spans="2:11" x14ac:dyDescent="0.2">
      <c r="C103" s="22" t="s">
        <v>72</v>
      </c>
      <c r="D103" s="18">
        <f>-D102/D$13</f>
        <v>5.8798502331654434E-3</v>
      </c>
      <c r="E103" s="18">
        <f t="shared" ref="E103:K103" si="136">-E102/E$13</f>
        <v>6.5996967566269256E-3</v>
      </c>
      <c r="F103" s="18">
        <f t="shared" si="136"/>
        <v>5.1525434520893051E-3</v>
      </c>
      <c r="G103" s="18">
        <f t="shared" si="136"/>
        <v>4.9025693949804284E-3</v>
      </c>
      <c r="H103" s="18">
        <f t="shared" si="136"/>
        <v>7.6826023267391203E-3</v>
      </c>
      <c r="I103" s="18">
        <f t="shared" si="136"/>
        <v>5.1507622684212467E-3</v>
      </c>
      <c r="J103" s="18">
        <f t="shared" si="136"/>
        <v>4.4823683123673087E-3</v>
      </c>
      <c r="K103" s="18">
        <f t="shared" si="136"/>
        <v>6.265379107976944E-3</v>
      </c>
    </row>
    <row r="104" spans="2:11" x14ac:dyDescent="0.2">
      <c r="C104" s="22" t="s">
        <v>73</v>
      </c>
      <c r="D104" s="19">
        <f t="shared" ref="D104" si="137">D103*D$2</f>
        <v>2.4048587453646664</v>
      </c>
      <c r="E104" s="19">
        <f t="shared" ref="E104" si="138">E103*E$2</f>
        <v>2.7718726377833089</v>
      </c>
      <c r="F104" s="19">
        <f t="shared" ref="F104" si="139">F103*F$2</f>
        <v>2.2516614885630264</v>
      </c>
      <c r="G104" s="19">
        <f t="shared" ref="G104" si="140">G103*G$2</f>
        <v>2.2282177900186046</v>
      </c>
      <c r="H104" s="19">
        <f t="shared" ref="H104" si="141">H103*H$2</f>
        <v>3.4917427575029301</v>
      </c>
      <c r="I104" s="19">
        <f t="shared" ref="I104" si="142">I103*I$2</f>
        <v>2.3410214509974567</v>
      </c>
      <c r="J104" s="19">
        <f t="shared" ref="J104" si="143">J103*J$2</f>
        <v>2.0372363979709416</v>
      </c>
      <c r="K104" s="19">
        <f>K103*K$2</f>
        <v>3.1138934166645411</v>
      </c>
    </row>
    <row r="106" spans="2:11" x14ac:dyDescent="0.2">
      <c r="B106" s="16" t="s">
        <v>35</v>
      </c>
    </row>
    <row r="107" spans="2:11" x14ac:dyDescent="0.2">
      <c r="B107" s="1" t="s">
        <v>36</v>
      </c>
      <c r="C107" s="1" t="s">
        <v>10</v>
      </c>
      <c r="D107" s="2">
        <v>-13650302</v>
      </c>
      <c r="E107" s="2">
        <v>-13164340</v>
      </c>
      <c r="F107" s="2">
        <v>-13591383</v>
      </c>
      <c r="G107" s="2">
        <v>-11563180.039999999</v>
      </c>
      <c r="H107" s="2">
        <v>-14219986</v>
      </c>
      <c r="I107" s="2">
        <v>-13289417</v>
      </c>
      <c r="J107" s="2">
        <v>-13001721.522658</v>
      </c>
      <c r="K107" s="2">
        <v>-16565128.230000004</v>
      </c>
    </row>
    <row r="108" spans="2:11" x14ac:dyDescent="0.2">
      <c r="B108" s="4"/>
      <c r="C108" s="4" t="s">
        <v>11</v>
      </c>
      <c r="D108" s="5">
        <v>6287073</v>
      </c>
      <c r="E108" s="5">
        <v>6330858</v>
      </c>
      <c r="F108" s="5">
        <v>6477423</v>
      </c>
      <c r="G108" s="5">
        <v>2680774.7200000007</v>
      </c>
      <c r="H108" s="5">
        <v>6606772</v>
      </c>
      <c r="I108" s="5">
        <v>6434464</v>
      </c>
      <c r="J108" s="5">
        <v>3943681.23</v>
      </c>
      <c r="K108" s="5">
        <v>6537153.6000000006</v>
      </c>
    </row>
    <row r="109" spans="2:11" x14ac:dyDescent="0.2">
      <c r="B109" s="21" t="s">
        <v>36</v>
      </c>
      <c r="C109" s="21" t="s">
        <v>65</v>
      </c>
      <c r="D109" s="29">
        <f>SUM(D107:D108)</f>
        <v>-7363229</v>
      </c>
      <c r="E109" s="29">
        <f t="shared" ref="E109:K109" si="144">SUM(E107:E108)</f>
        <v>-6833482</v>
      </c>
      <c r="F109" s="29">
        <f t="shared" si="144"/>
        <v>-7113960</v>
      </c>
      <c r="G109" s="29">
        <f t="shared" si="144"/>
        <v>-8882405.3199999984</v>
      </c>
      <c r="H109" s="29">
        <f t="shared" si="144"/>
        <v>-7613214</v>
      </c>
      <c r="I109" s="29">
        <f t="shared" si="144"/>
        <v>-6854953</v>
      </c>
      <c r="J109" s="29">
        <f t="shared" si="144"/>
        <v>-9058040.2926579993</v>
      </c>
      <c r="K109" s="29">
        <f t="shared" si="144"/>
        <v>-10027974.630000003</v>
      </c>
    </row>
    <row r="110" spans="2:11" x14ac:dyDescent="0.2">
      <c r="B110" s="1" t="s">
        <v>37</v>
      </c>
      <c r="C110" s="1" t="s">
        <v>10</v>
      </c>
      <c r="D110" s="2">
        <v>-19042466</v>
      </c>
      <c r="E110" s="2">
        <v>-19856609</v>
      </c>
      <c r="F110" s="2">
        <v>-19929289</v>
      </c>
      <c r="G110" s="2">
        <v>-16654152.840000011</v>
      </c>
      <c r="H110" s="2">
        <v>-19806044</v>
      </c>
      <c r="I110" s="2">
        <v>-21357543</v>
      </c>
      <c r="J110" s="2">
        <v>-18663505.087921035</v>
      </c>
      <c r="K110" s="2">
        <v>-23338187.149999984</v>
      </c>
    </row>
    <row r="111" spans="2:11" x14ac:dyDescent="0.2">
      <c r="B111" s="4"/>
      <c r="C111" s="4" t="s">
        <v>11</v>
      </c>
      <c r="D111" s="5">
        <v>324628</v>
      </c>
      <c r="E111" s="5">
        <v>331728</v>
      </c>
      <c r="F111" s="5">
        <v>405990</v>
      </c>
      <c r="G111" s="5">
        <v>84021</v>
      </c>
      <c r="H111" s="5">
        <v>383008</v>
      </c>
      <c r="I111" s="5">
        <v>351770</v>
      </c>
      <c r="J111" s="5">
        <v>50591.6</v>
      </c>
      <c r="K111" s="5">
        <v>270000</v>
      </c>
    </row>
    <row r="112" spans="2:11" x14ac:dyDescent="0.2">
      <c r="B112" s="21" t="s">
        <v>37</v>
      </c>
      <c r="C112" s="21" t="s">
        <v>65</v>
      </c>
      <c r="D112" s="29">
        <f>SUM(D110:D111)</f>
        <v>-18717838</v>
      </c>
      <c r="E112" s="29">
        <f t="shared" ref="E112:K112" si="145">SUM(E110:E111)</f>
        <v>-19524881</v>
      </c>
      <c r="F112" s="29">
        <f t="shared" si="145"/>
        <v>-19523299</v>
      </c>
      <c r="G112" s="29">
        <f t="shared" si="145"/>
        <v>-16570131.840000011</v>
      </c>
      <c r="H112" s="29">
        <f t="shared" si="145"/>
        <v>-19423036</v>
      </c>
      <c r="I112" s="29">
        <f t="shared" si="145"/>
        <v>-21005773</v>
      </c>
      <c r="J112" s="29">
        <f t="shared" si="145"/>
        <v>-18612913.487921033</v>
      </c>
      <c r="K112" s="29">
        <f t="shared" si="145"/>
        <v>-23068187.149999984</v>
      </c>
    </row>
    <row r="113" spans="2:11" x14ac:dyDescent="0.2">
      <c r="B113" s="16" t="s">
        <v>35</v>
      </c>
      <c r="C113" s="16" t="s">
        <v>65</v>
      </c>
      <c r="D113" s="17">
        <f>SUM(D112,D109)</f>
        <v>-26081067</v>
      </c>
      <c r="E113" s="17">
        <f t="shared" ref="E113:K113" si="146">SUM(E112,E109)</f>
        <v>-26358363</v>
      </c>
      <c r="F113" s="17">
        <f t="shared" si="146"/>
        <v>-26637259</v>
      </c>
      <c r="G113" s="17">
        <f t="shared" si="146"/>
        <v>-25452537.160000011</v>
      </c>
      <c r="H113" s="17">
        <f t="shared" si="146"/>
        <v>-27036250</v>
      </c>
      <c r="I113" s="17">
        <f t="shared" si="146"/>
        <v>-27860726</v>
      </c>
      <c r="J113" s="17">
        <f t="shared" si="146"/>
        <v>-27670953.780579031</v>
      </c>
      <c r="K113" s="17">
        <f t="shared" si="146"/>
        <v>-33096161.779999986</v>
      </c>
    </row>
    <row r="114" spans="2:11" x14ac:dyDescent="0.2">
      <c r="C114" s="22" t="s">
        <v>72</v>
      </c>
      <c r="D114" s="18">
        <f>-D113/D$13</f>
        <v>0.20008763756171949</v>
      </c>
      <c r="E114" s="18">
        <f t="shared" ref="E114:K114" si="147">-E113/E$13</f>
        <v>0.1928933500856537</v>
      </c>
      <c r="F114" s="18">
        <f t="shared" si="147"/>
        <v>0.18912593194487692</v>
      </c>
      <c r="G114" s="18">
        <f t="shared" si="147"/>
        <v>0.18227132100330637</v>
      </c>
      <c r="H114" s="18">
        <f t="shared" si="147"/>
        <v>0.18059055678694563</v>
      </c>
      <c r="I114" s="18">
        <f t="shared" si="147"/>
        <v>0.19265769804142069</v>
      </c>
      <c r="J114" s="18">
        <f t="shared" si="147"/>
        <v>0.19609911852823789</v>
      </c>
      <c r="K114" s="18">
        <f t="shared" si="147"/>
        <v>0.20929264020417851</v>
      </c>
    </row>
    <row r="115" spans="2:11" x14ac:dyDescent="0.2">
      <c r="C115" s="22" t="s">
        <v>73</v>
      </c>
      <c r="D115" s="19">
        <f t="shared" ref="D115" si="148">D114*D$2</f>
        <v>81.835843762743266</v>
      </c>
      <c r="E115" s="19">
        <f t="shared" ref="E115" si="149">E114*E$2</f>
        <v>81.015207035974555</v>
      </c>
      <c r="F115" s="19">
        <f t="shared" ref="F115" si="150">F114*F$2</f>
        <v>82.648032259911218</v>
      </c>
      <c r="G115" s="19">
        <f t="shared" ref="G115" si="151">G114*G$2</f>
        <v>82.842315396002746</v>
      </c>
      <c r="H115" s="19">
        <f t="shared" ref="H115" si="152">H114*H$2</f>
        <v>82.078408059666785</v>
      </c>
      <c r="I115" s="19">
        <f t="shared" ref="I115" si="153">I114*I$2</f>
        <v>87.562923759825708</v>
      </c>
      <c r="J115" s="19">
        <f t="shared" ref="J115" si="154">J114*J$2</f>
        <v>89.127049371084127</v>
      </c>
      <c r="K115" s="19">
        <f>K114*K$2</f>
        <v>104.01844218147671</v>
      </c>
    </row>
    <row r="117" spans="2:11" x14ac:dyDescent="0.2">
      <c r="B117" s="16" t="s">
        <v>0</v>
      </c>
    </row>
    <row r="118" spans="2:11" x14ac:dyDescent="0.2">
      <c r="B118" s="1" t="s">
        <v>1</v>
      </c>
      <c r="C118" s="1" t="s">
        <v>10</v>
      </c>
      <c r="D118" s="2">
        <v>-14610895</v>
      </c>
      <c r="E118" s="2">
        <v>-14131881</v>
      </c>
      <c r="F118" s="2">
        <v>-12837418</v>
      </c>
      <c r="G118" s="2">
        <v>-11986595.609999999</v>
      </c>
      <c r="H118" s="2">
        <v>-13231577</v>
      </c>
      <c r="I118" s="2">
        <v>-11419154</v>
      </c>
      <c r="J118" s="2">
        <v>-11835892.76987022</v>
      </c>
      <c r="K118" s="2">
        <v>-12388367.430000002</v>
      </c>
    </row>
    <row r="119" spans="2:11" x14ac:dyDescent="0.2">
      <c r="C119" s="9" t="s">
        <v>58</v>
      </c>
      <c r="D119" s="10">
        <v>-8486001</v>
      </c>
      <c r="E119" s="10">
        <v>-9113461</v>
      </c>
      <c r="F119" s="10">
        <v>-9952714</v>
      </c>
      <c r="G119" s="10">
        <v>-6574675.4999999991</v>
      </c>
      <c r="H119" s="10">
        <v>-11013827</v>
      </c>
      <c r="I119" s="10">
        <v>-10358120</v>
      </c>
      <c r="J119" s="10">
        <v>-9287233.3958566133</v>
      </c>
      <c r="K119" s="10">
        <v>-11736081.749999998</v>
      </c>
    </row>
    <row r="120" spans="2:11" x14ac:dyDescent="0.2">
      <c r="B120" s="16" t="s">
        <v>0</v>
      </c>
      <c r="C120" s="16" t="s">
        <v>65</v>
      </c>
      <c r="D120" s="17">
        <f>SUM(D118:D119)</f>
        <v>-23096896</v>
      </c>
      <c r="E120" s="17">
        <f t="shared" ref="E120:K120" si="155">SUM(E118:E119)</f>
        <v>-23245342</v>
      </c>
      <c r="F120" s="17">
        <f t="shared" si="155"/>
        <v>-22790132</v>
      </c>
      <c r="G120" s="17">
        <f t="shared" si="155"/>
        <v>-18561271.109999999</v>
      </c>
      <c r="H120" s="17">
        <f t="shared" si="155"/>
        <v>-24245404</v>
      </c>
      <c r="I120" s="17">
        <f t="shared" si="155"/>
        <v>-21777274</v>
      </c>
      <c r="J120" s="17">
        <f t="shared" si="155"/>
        <v>-21123126.165726833</v>
      </c>
      <c r="K120" s="17">
        <f t="shared" si="155"/>
        <v>-24124449.18</v>
      </c>
    </row>
    <row r="121" spans="2:11" x14ac:dyDescent="0.2">
      <c r="C121" s="22" t="s">
        <v>72</v>
      </c>
      <c r="D121" s="18">
        <f t="shared" ref="D121" si="156">-D120/D$13-D123</f>
        <v>0.11209125237139797</v>
      </c>
      <c r="E121" s="18">
        <f t="shared" ref="E121" si="157">-E120/E$13-E123</f>
        <v>0.10341863298194193</v>
      </c>
      <c r="F121" s="18">
        <f t="shared" ref="F121" si="158">-F120/F$13-F123</f>
        <v>9.1146339156590331E-2</v>
      </c>
      <c r="G121" s="18">
        <f t="shared" ref="G121" si="159">-G120/G$13-G123</f>
        <v>8.583869664674057E-2</v>
      </c>
      <c r="H121" s="18">
        <f t="shared" ref="H121" si="160">-H120/H$13-H123</f>
        <v>8.8381260625987099E-2</v>
      </c>
      <c r="I121" s="18">
        <f t="shared" ref="I121" si="161">-I120/I$13-I123</f>
        <v>7.8963768683575616E-2</v>
      </c>
      <c r="J121" s="18">
        <f t="shared" ref="J121" si="162">-J120/J$13-J123</f>
        <v>8.3878862925039585E-2</v>
      </c>
      <c r="K121" s="18">
        <f>-K120/K$13-K123</f>
        <v>7.8341233176198066E-2</v>
      </c>
    </row>
    <row r="122" spans="2:11" x14ac:dyDescent="0.2">
      <c r="C122" s="22" t="s">
        <v>73</v>
      </c>
      <c r="D122" s="19">
        <f t="shared" ref="D122" si="163">D121*D$2</f>
        <v>45.845322219901767</v>
      </c>
      <c r="E122" s="19">
        <f t="shared" ref="E122" si="164">E121*E$2</f>
        <v>43.435825852415611</v>
      </c>
      <c r="F122" s="19">
        <f t="shared" ref="F122" si="165">F121*F$2</f>
        <v>39.830950211429972</v>
      </c>
      <c r="G122" s="19">
        <f t="shared" ref="G122" si="166">G121*G$2</f>
        <v>39.013687625943589</v>
      </c>
      <c r="H122" s="19">
        <f t="shared" ref="H122" si="167">H121*H$2</f>
        <v>40.169282954511139</v>
      </c>
      <c r="I122" s="19">
        <f t="shared" ref="I122" si="168">I121*I$2</f>
        <v>35.88903286668512</v>
      </c>
      <c r="J122" s="19">
        <f t="shared" ref="J122" si="169">J121*J$2</f>
        <v>38.122943199430495</v>
      </c>
      <c r="K122" s="19">
        <f>K121*K$2</f>
        <v>38.93559288857044</v>
      </c>
    </row>
    <row r="123" spans="2:11" x14ac:dyDescent="0.2">
      <c r="C123" s="23" t="s">
        <v>72</v>
      </c>
      <c r="D123" s="24">
        <f>-D119/D$13</f>
        <v>6.5102547086604595E-2</v>
      </c>
      <c r="E123" s="24">
        <f t="shared" ref="E123:K123" si="170">-E119/E$13</f>
        <v>6.6693292871220861E-2</v>
      </c>
      <c r="F123" s="24">
        <f t="shared" si="170"/>
        <v>7.066478989564294E-2</v>
      </c>
      <c r="G123" s="24">
        <f t="shared" si="170"/>
        <v>4.7082724249446616E-2</v>
      </c>
      <c r="H123" s="24">
        <f t="shared" si="170"/>
        <v>7.356764160285155E-2</v>
      </c>
      <c r="I123" s="24">
        <f t="shared" si="170"/>
        <v>7.1626688954078241E-2</v>
      </c>
      <c r="J123" s="24">
        <f t="shared" si="170"/>
        <v>6.5816968107970483E-2</v>
      </c>
      <c r="K123" s="24">
        <f t="shared" si="170"/>
        <v>7.4216326093556356E-2</v>
      </c>
    </row>
    <row r="124" spans="2:11" x14ac:dyDescent="0.2">
      <c r="C124" s="25" t="s">
        <v>73</v>
      </c>
      <c r="D124" s="26">
        <f t="shared" ref="D124" si="171">D123*D$2</f>
        <v>26.626941758421278</v>
      </c>
      <c r="E124" s="26">
        <f t="shared" ref="E124" si="172">E123*E$2</f>
        <v>28.011183005912763</v>
      </c>
      <c r="F124" s="26">
        <f t="shared" ref="F124" si="173">F123*F$2</f>
        <v>30.880513184395966</v>
      </c>
      <c r="G124" s="26">
        <f t="shared" ref="G124" si="174">G123*G$2</f>
        <v>21.399098171373488</v>
      </c>
      <c r="H124" s="26">
        <f t="shared" ref="H124" si="175">H123*H$2</f>
        <v>33.43649310849603</v>
      </c>
      <c r="I124" s="26">
        <f t="shared" ref="I124" si="176">I123*I$2</f>
        <v>32.554330129628561</v>
      </c>
      <c r="J124" s="26">
        <f t="shared" ref="J124" si="177">J123*J$2</f>
        <v>29.913812005072586</v>
      </c>
      <c r="K124" s="26">
        <f>K123*K$2</f>
        <v>36.885514068497507</v>
      </c>
    </row>
    <row r="126" spans="2:11" x14ac:dyDescent="0.2">
      <c r="B126" s="16" t="s">
        <v>38</v>
      </c>
    </row>
    <row r="127" spans="2:11" x14ac:dyDescent="0.2">
      <c r="B127" s="1" t="s">
        <v>39</v>
      </c>
      <c r="C127" s="1" t="s">
        <v>10</v>
      </c>
      <c r="D127" s="2">
        <v>-841617</v>
      </c>
      <c r="E127" s="2">
        <v>-911085</v>
      </c>
      <c r="F127" s="2">
        <v>-1254247</v>
      </c>
      <c r="G127" s="2">
        <v>-1093111.5</v>
      </c>
      <c r="H127" s="2">
        <v>-1443011</v>
      </c>
      <c r="I127" s="2">
        <v>-1282631</v>
      </c>
      <c r="J127" s="2">
        <v>-898232.96265029232</v>
      </c>
      <c r="K127" s="2">
        <v>-1148613.6100000001</v>
      </c>
    </row>
    <row r="128" spans="2:11" x14ac:dyDescent="0.2">
      <c r="B128" s="4"/>
      <c r="C128" s="4" t="s">
        <v>11</v>
      </c>
      <c r="D128" s="5">
        <v>5946</v>
      </c>
      <c r="E128" s="5">
        <v>7956</v>
      </c>
      <c r="F128" s="5">
        <v>32509</v>
      </c>
      <c r="G128" s="5">
        <v>3233.71</v>
      </c>
      <c r="H128" s="5">
        <v>30000</v>
      </c>
      <c r="I128" s="5">
        <v>42000</v>
      </c>
      <c r="J128" s="5">
        <v>0</v>
      </c>
      <c r="K128" s="5">
        <v>0</v>
      </c>
    </row>
    <row r="129" spans="2:11" x14ac:dyDescent="0.2">
      <c r="B129" s="21" t="s">
        <v>39</v>
      </c>
      <c r="C129" s="21" t="s">
        <v>65</v>
      </c>
      <c r="D129" s="29">
        <f>SUM(D127:D128)</f>
        <v>-835671</v>
      </c>
      <c r="E129" s="29">
        <f t="shared" ref="E129:K129" si="178">SUM(E127:E128)</f>
        <v>-903129</v>
      </c>
      <c r="F129" s="29">
        <f t="shared" si="178"/>
        <v>-1221738</v>
      </c>
      <c r="G129" s="29">
        <f t="shared" si="178"/>
        <v>-1089877.79</v>
      </c>
      <c r="H129" s="29">
        <f t="shared" si="178"/>
        <v>-1413011</v>
      </c>
      <c r="I129" s="29">
        <f t="shared" si="178"/>
        <v>-1240631</v>
      </c>
      <c r="J129" s="29">
        <f t="shared" si="178"/>
        <v>-898232.96265029232</v>
      </c>
      <c r="K129" s="29">
        <f t="shared" si="178"/>
        <v>-1148613.6100000001</v>
      </c>
    </row>
    <row r="130" spans="2:11" x14ac:dyDescent="0.2">
      <c r="B130" s="1" t="s">
        <v>40</v>
      </c>
      <c r="C130" s="1" t="s">
        <v>10</v>
      </c>
      <c r="D130" s="2">
        <v>-3243242</v>
      </c>
      <c r="E130" s="2">
        <v>-3357839</v>
      </c>
      <c r="F130" s="2">
        <v>-2923860</v>
      </c>
      <c r="G130" s="2">
        <v>-2154532.6300000004</v>
      </c>
      <c r="H130" s="2">
        <v>-3503046</v>
      </c>
      <c r="I130" s="2">
        <v>-3286514</v>
      </c>
      <c r="J130" s="2">
        <v>-2458348.0316675985</v>
      </c>
      <c r="K130" s="2">
        <v>-3948695.8</v>
      </c>
    </row>
    <row r="131" spans="2:11" x14ac:dyDescent="0.2">
      <c r="B131" s="4"/>
      <c r="C131" s="4" t="s">
        <v>11</v>
      </c>
      <c r="D131" s="5">
        <v>1743357</v>
      </c>
      <c r="E131" s="5">
        <v>1543528</v>
      </c>
      <c r="F131" s="5">
        <v>1520483</v>
      </c>
      <c r="G131" s="5">
        <v>534022.85999999987</v>
      </c>
      <c r="H131" s="5">
        <v>1579678</v>
      </c>
      <c r="I131" s="5">
        <v>1474350</v>
      </c>
      <c r="J131" s="5">
        <v>1029694.5538636363</v>
      </c>
      <c r="K131" s="5">
        <v>1974977.0999999999</v>
      </c>
    </row>
    <row r="132" spans="2:11" x14ac:dyDescent="0.2">
      <c r="B132" s="21" t="s">
        <v>40</v>
      </c>
      <c r="C132" s="21" t="s">
        <v>65</v>
      </c>
      <c r="D132" s="29">
        <f>SUM(D130:D131)</f>
        <v>-1499885</v>
      </c>
      <c r="E132" s="29">
        <f t="shared" ref="E132" si="179">SUM(E130:E131)</f>
        <v>-1814311</v>
      </c>
      <c r="F132" s="29">
        <f t="shared" ref="F132" si="180">SUM(F130:F131)</f>
        <v>-1403377</v>
      </c>
      <c r="G132" s="29">
        <f t="shared" ref="G132" si="181">SUM(G130:G131)</f>
        <v>-1620509.7700000005</v>
      </c>
      <c r="H132" s="29">
        <f t="shared" ref="H132" si="182">SUM(H130:H131)</f>
        <v>-1923368</v>
      </c>
      <c r="I132" s="29">
        <f t="shared" ref="I132" si="183">SUM(I130:I131)</f>
        <v>-1812164</v>
      </c>
      <c r="J132" s="29">
        <f t="shared" ref="J132" si="184">SUM(J130:J131)</f>
        <v>-1428653.4778039623</v>
      </c>
      <c r="K132" s="29">
        <f t="shared" ref="K132" si="185">SUM(K130:K131)</f>
        <v>-1973718.7</v>
      </c>
    </row>
    <row r="133" spans="2:11" x14ac:dyDescent="0.2">
      <c r="B133" s="1" t="s">
        <v>41</v>
      </c>
      <c r="C133" s="1" t="s">
        <v>10</v>
      </c>
      <c r="D133" s="2">
        <v>-6416782</v>
      </c>
      <c r="E133" s="2">
        <v>-6581290</v>
      </c>
      <c r="F133" s="2">
        <v>-6946155</v>
      </c>
      <c r="G133" s="2">
        <v>-5316752.3400000008</v>
      </c>
      <c r="H133" s="2">
        <v>-6674803</v>
      </c>
      <c r="I133" s="2">
        <v>-7038043</v>
      </c>
      <c r="J133" s="2">
        <v>-5592752.1028264156</v>
      </c>
      <c r="K133" s="2">
        <v>-7015330.4500000011</v>
      </c>
    </row>
    <row r="134" spans="2:11" x14ac:dyDescent="0.2">
      <c r="B134" s="4"/>
      <c r="C134" s="4" t="s">
        <v>11</v>
      </c>
      <c r="D134" s="5">
        <v>4516473</v>
      </c>
      <c r="E134" s="5">
        <v>4936563</v>
      </c>
      <c r="F134" s="5">
        <v>5219315</v>
      </c>
      <c r="G134" s="5">
        <v>3307160.03</v>
      </c>
      <c r="H134" s="5">
        <v>5345611</v>
      </c>
      <c r="I134" s="5">
        <v>4839687</v>
      </c>
      <c r="J134" s="5">
        <v>3733943.0640000002</v>
      </c>
      <c r="K134" s="5">
        <v>5425844.7700000005</v>
      </c>
    </row>
    <row r="135" spans="2:11" x14ac:dyDescent="0.2">
      <c r="B135" s="21" t="s">
        <v>41</v>
      </c>
      <c r="C135" s="21" t="s">
        <v>65</v>
      </c>
      <c r="D135" s="29">
        <f>SUM(D133:D134)</f>
        <v>-1900309</v>
      </c>
      <c r="E135" s="29">
        <f t="shared" ref="E135" si="186">SUM(E133:E134)</f>
        <v>-1644727</v>
      </c>
      <c r="F135" s="29">
        <f t="shared" ref="F135" si="187">SUM(F133:F134)</f>
        <v>-1726840</v>
      </c>
      <c r="G135" s="29">
        <f t="shared" ref="G135" si="188">SUM(G133:G134)</f>
        <v>-2009592.310000001</v>
      </c>
      <c r="H135" s="29">
        <f t="shared" ref="H135" si="189">SUM(H133:H134)</f>
        <v>-1329192</v>
      </c>
      <c r="I135" s="29">
        <f t="shared" ref="I135" si="190">SUM(I133:I134)</f>
        <v>-2198356</v>
      </c>
      <c r="J135" s="29">
        <f t="shared" ref="J135" si="191">SUM(J133:J134)</f>
        <v>-1858809.0388264153</v>
      </c>
      <c r="K135" s="29">
        <f t="shared" ref="K135" si="192">SUM(K133:K134)</f>
        <v>-1589485.6800000006</v>
      </c>
    </row>
    <row r="136" spans="2:11" x14ac:dyDescent="0.2">
      <c r="B136" s="1" t="s">
        <v>42</v>
      </c>
      <c r="C136" s="1" t="s">
        <v>10</v>
      </c>
      <c r="D136" s="2">
        <v>-7214589</v>
      </c>
      <c r="E136" s="2">
        <v>-7373133</v>
      </c>
      <c r="F136" s="2">
        <v>-7656875</v>
      </c>
      <c r="G136" s="2">
        <v>-5387516.1000000006</v>
      </c>
      <c r="H136" s="2">
        <v>-8485254</v>
      </c>
      <c r="I136" s="2">
        <v>-7737032</v>
      </c>
      <c r="J136" s="2">
        <v>-6133413.3927240334</v>
      </c>
      <c r="K136" s="2">
        <v>-8619351.549999997</v>
      </c>
    </row>
    <row r="137" spans="2:11" x14ac:dyDescent="0.2">
      <c r="B137" s="4"/>
      <c r="C137" s="4" t="s">
        <v>11</v>
      </c>
      <c r="D137" s="5">
        <v>10677052</v>
      </c>
      <c r="E137" s="5">
        <v>11264102</v>
      </c>
      <c r="F137" s="5">
        <v>11524177</v>
      </c>
      <c r="G137" s="5">
        <v>6111108.0200000014</v>
      </c>
      <c r="H137" s="5">
        <v>12014912</v>
      </c>
      <c r="I137" s="5">
        <v>10339228</v>
      </c>
      <c r="J137" s="5">
        <v>6912571.7133333348</v>
      </c>
      <c r="K137" s="5">
        <v>12151340.129999999</v>
      </c>
    </row>
    <row r="138" spans="2:11" x14ac:dyDescent="0.2">
      <c r="B138" s="21" t="s">
        <v>42</v>
      </c>
      <c r="C138" s="21" t="s">
        <v>65</v>
      </c>
      <c r="D138" s="29">
        <f>SUM(D136:D137)</f>
        <v>3462463</v>
      </c>
      <c r="E138" s="29">
        <f t="shared" ref="E138" si="193">SUM(E136:E137)</f>
        <v>3890969</v>
      </c>
      <c r="F138" s="29">
        <f t="shared" ref="F138" si="194">SUM(F136:F137)</f>
        <v>3867302</v>
      </c>
      <c r="G138" s="29">
        <f t="shared" ref="G138" si="195">SUM(G136:G137)</f>
        <v>723591.92000000086</v>
      </c>
      <c r="H138" s="29">
        <f t="shared" ref="H138" si="196">SUM(H136:H137)</f>
        <v>3529658</v>
      </c>
      <c r="I138" s="29">
        <f t="shared" ref="I138" si="197">SUM(I136:I137)</f>
        <v>2602196</v>
      </c>
      <c r="J138" s="29">
        <f t="shared" ref="J138" si="198">SUM(J136:J137)</f>
        <v>779158.32060930133</v>
      </c>
      <c r="K138" s="29">
        <f t="shared" ref="K138" si="199">SUM(K136:K137)</f>
        <v>3531988.5800000019</v>
      </c>
    </row>
    <row r="139" spans="2:11" x14ac:dyDescent="0.2">
      <c r="B139" s="16" t="s">
        <v>38</v>
      </c>
      <c r="C139" s="16" t="s">
        <v>65</v>
      </c>
      <c r="D139" s="17">
        <f>SUM(D138,D135,D132,D129)</f>
        <v>-773402</v>
      </c>
      <c r="E139" s="17">
        <f t="shared" ref="E139:K139" si="200">SUM(E138,E135,E132,E129)</f>
        <v>-471198</v>
      </c>
      <c r="F139" s="17">
        <f t="shared" si="200"/>
        <v>-484653</v>
      </c>
      <c r="G139" s="17">
        <f t="shared" si="200"/>
        <v>-3996387.9500000007</v>
      </c>
      <c r="H139" s="17">
        <f t="shared" si="200"/>
        <v>-1135913</v>
      </c>
      <c r="I139" s="17">
        <f t="shared" si="200"/>
        <v>-2648955</v>
      </c>
      <c r="J139" s="17">
        <f t="shared" si="200"/>
        <v>-3406537.1586713688</v>
      </c>
      <c r="K139" s="17">
        <f t="shared" si="200"/>
        <v>-1179829.4099999988</v>
      </c>
    </row>
    <row r="140" spans="2:11" x14ac:dyDescent="0.2">
      <c r="C140" s="22" t="s">
        <v>72</v>
      </c>
      <c r="D140" s="18">
        <f>-D139/D$13</f>
        <v>5.9333530743013304E-3</v>
      </c>
      <c r="E140" s="18">
        <f t="shared" ref="E140:K140" si="201">-E139/E$13</f>
        <v>3.4482779060922659E-3</v>
      </c>
      <c r="F140" s="18">
        <f t="shared" si="201"/>
        <v>3.4410616458277646E-3</v>
      </c>
      <c r="G140" s="18">
        <f t="shared" si="201"/>
        <v>2.8619029462923499E-2</v>
      </c>
      <c r="H140" s="18">
        <f t="shared" si="201"/>
        <v>7.5874117576043192E-3</v>
      </c>
      <c r="I140" s="18">
        <f t="shared" si="201"/>
        <v>1.8317597772409502E-2</v>
      </c>
      <c r="J140" s="18">
        <f t="shared" si="201"/>
        <v>2.4141521804643948E-2</v>
      </c>
      <c r="K140" s="18">
        <f t="shared" si="201"/>
        <v>7.4609742921506244E-3</v>
      </c>
    </row>
    <row r="141" spans="2:11" x14ac:dyDescent="0.2">
      <c r="C141" s="22" t="s">
        <v>73</v>
      </c>
      <c r="D141" s="19">
        <f t="shared" ref="D141" si="202">D140*D$2</f>
        <v>2.4267414073892439</v>
      </c>
      <c r="E141" s="19">
        <f t="shared" ref="E141" si="203">E140*E$2</f>
        <v>1.4482767205587517</v>
      </c>
      <c r="F141" s="19">
        <f t="shared" ref="F141" si="204">F140*F$2</f>
        <v>1.5037439392267331</v>
      </c>
      <c r="G141" s="19">
        <f t="shared" ref="G141" si="205">G140*G$2</f>
        <v>13.007348890898729</v>
      </c>
      <c r="H141" s="19">
        <f t="shared" ref="H141" si="206">H140*H$2</f>
        <v>3.4484786438311632</v>
      </c>
      <c r="I141" s="19">
        <f t="shared" ref="I141" si="207">I140*I$2</f>
        <v>8.3253481875601185</v>
      </c>
      <c r="J141" s="19">
        <f t="shared" ref="J141" si="208">J140*J$2</f>
        <v>10.972321660210675</v>
      </c>
      <c r="K141" s="19">
        <f>K140*K$2</f>
        <v>3.7081042231988603</v>
      </c>
    </row>
    <row r="143" spans="2:11" x14ac:dyDescent="0.2">
      <c r="B143" s="16" t="s">
        <v>43</v>
      </c>
    </row>
    <row r="144" spans="2:11" x14ac:dyDescent="0.2">
      <c r="B144" s="1" t="s">
        <v>44</v>
      </c>
      <c r="C144" s="1" t="s">
        <v>10</v>
      </c>
      <c r="D144" s="2">
        <v>-1917684</v>
      </c>
      <c r="E144" s="2">
        <v>-2107321</v>
      </c>
      <c r="F144" s="2">
        <v>-1727232</v>
      </c>
      <c r="G144" s="2">
        <v>-945742.66000000038</v>
      </c>
      <c r="H144" s="2">
        <v>-1709968</v>
      </c>
      <c r="I144" s="2">
        <v>-1820242</v>
      </c>
      <c r="J144" s="2">
        <v>-1168962.5411491268</v>
      </c>
      <c r="K144" s="2">
        <v>-2721186.05</v>
      </c>
    </row>
    <row r="145" spans="2:11" x14ac:dyDescent="0.2">
      <c r="B145" s="4"/>
      <c r="C145" s="4" t="s">
        <v>11</v>
      </c>
      <c r="D145" s="5">
        <v>361046</v>
      </c>
      <c r="E145" s="5">
        <v>364994</v>
      </c>
      <c r="F145" s="5">
        <v>429678</v>
      </c>
      <c r="G145" s="5">
        <v>138869.75</v>
      </c>
      <c r="H145" s="5">
        <v>413893</v>
      </c>
      <c r="I145" s="5">
        <v>374864</v>
      </c>
      <c r="J145" s="5">
        <v>135617.94999999998</v>
      </c>
      <c r="K145" s="5">
        <v>586997.07999999996</v>
      </c>
    </row>
    <row r="146" spans="2:11" x14ac:dyDescent="0.2">
      <c r="B146" s="16" t="s">
        <v>43</v>
      </c>
      <c r="C146" s="16" t="s">
        <v>65</v>
      </c>
      <c r="D146" s="17">
        <f>SUM(D144:D145)</f>
        <v>-1556638</v>
      </c>
      <c r="E146" s="17">
        <f t="shared" ref="E146:K146" si="209">SUM(E144:E145)</f>
        <v>-1742327</v>
      </c>
      <c r="F146" s="17">
        <f t="shared" si="209"/>
        <v>-1297554</v>
      </c>
      <c r="G146" s="17">
        <f t="shared" si="209"/>
        <v>-806872.91000000038</v>
      </c>
      <c r="H146" s="17">
        <f t="shared" si="209"/>
        <v>-1296075</v>
      </c>
      <c r="I146" s="17">
        <f t="shared" si="209"/>
        <v>-1445378</v>
      </c>
      <c r="J146" s="17">
        <f t="shared" si="209"/>
        <v>-1033344.5911491269</v>
      </c>
      <c r="K146" s="17">
        <f t="shared" si="209"/>
        <v>-2134188.9699999997</v>
      </c>
    </row>
    <row r="147" spans="2:11" x14ac:dyDescent="0.2">
      <c r="C147" s="22" t="s">
        <v>72</v>
      </c>
      <c r="D147" s="18">
        <f>-D146/D$13</f>
        <v>1.1942150217964621E-2</v>
      </c>
      <c r="E147" s="18">
        <f t="shared" ref="E147:K147" si="210">-E146/E$13</f>
        <v>1.2750537352212911E-2</v>
      </c>
      <c r="F147" s="18">
        <f t="shared" si="210"/>
        <v>9.2127012579936562E-3</v>
      </c>
      <c r="G147" s="18">
        <f t="shared" si="210"/>
        <v>5.7781976807644089E-3</v>
      </c>
      <c r="H147" s="18">
        <f t="shared" si="210"/>
        <v>8.6572252397296434E-3</v>
      </c>
      <c r="I147" s="18">
        <f t="shared" si="210"/>
        <v>9.9948292187257634E-3</v>
      </c>
      <c r="J147" s="18">
        <f t="shared" si="210"/>
        <v>7.323128977306464E-3</v>
      </c>
      <c r="K147" s="18">
        <f t="shared" si="210"/>
        <v>1.3496128257865208E-2</v>
      </c>
    </row>
    <row r="148" spans="2:11" x14ac:dyDescent="0.2">
      <c r="C148" s="22" t="s">
        <v>73</v>
      </c>
      <c r="D148" s="19">
        <f t="shared" ref="D148" si="211">D147*D$2</f>
        <v>4.8843394391475297</v>
      </c>
      <c r="E148" s="19">
        <f t="shared" ref="E148" si="212">E147*E$2</f>
        <v>5.3552256879294227</v>
      </c>
      <c r="F148" s="19">
        <f t="shared" ref="F148" si="213">F147*F$2</f>
        <v>4.0259504497432275</v>
      </c>
      <c r="G148" s="19">
        <f t="shared" ref="G148" si="214">G147*G$2</f>
        <v>2.6261908459074239</v>
      </c>
      <c r="H148" s="19">
        <f t="shared" ref="H148" si="215">H147*H$2</f>
        <v>3.934708871457123</v>
      </c>
      <c r="I148" s="19">
        <f t="shared" ref="I148" si="216">I147*I$2</f>
        <v>4.5426498799108597</v>
      </c>
      <c r="J148" s="19">
        <f t="shared" ref="J148" si="217">J147*J$2</f>
        <v>3.3283621201857878</v>
      </c>
      <c r="K148" s="19">
        <f>K147*K$2</f>
        <v>6.7075757441590085</v>
      </c>
    </row>
    <row r="150" spans="2:11" x14ac:dyDescent="0.2">
      <c r="B150" s="16" t="s">
        <v>45</v>
      </c>
    </row>
    <row r="151" spans="2:11" x14ac:dyDescent="0.2">
      <c r="B151" s="1" t="s">
        <v>46</v>
      </c>
      <c r="C151" s="1" t="s">
        <v>10</v>
      </c>
      <c r="D151" s="2">
        <v>-8200113</v>
      </c>
      <c r="E151" s="2">
        <v>-9399615</v>
      </c>
      <c r="F151" s="2">
        <v>-8612737</v>
      </c>
      <c r="G151" s="2">
        <v>-3365721.4400000004</v>
      </c>
      <c r="H151" s="2">
        <v>-8428123</v>
      </c>
      <c r="I151" s="2">
        <v>-7483634</v>
      </c>
      <c r="J151" s="2">
        <v>-3544585.874837108</v>
      </c>
      <c r="K151" s="2">
        <v>-9702657.0700000003</v>
      </c>
    </row>
    <row r="152" spans="2:11" x14ac:dyDescent="0.2">
      <c r="B152" s="4"/>
      <c r="C152" s="4" t="s">
        <v>11</v>
      </c>
      <c r="D152" s="5">
        <v>5547111</v>
      </c>
      <c r="E152" s="5">
        <v>5442438</v>
      </c>
      <c r="F152" s="5">
        <v>5429861</v>
      </c>
      <c r="G152" s="5">
        <v>896613.61</v>
      </c>
      <c r="H152" s="5">
        <v>4858005</v>
      </c>
      <c r="I152" s="5">
        <v>3871844</v>
      </c>
      <c r="J152" s="5">
        <v>608751.04</v>
      </c>
      <c r="K152" s="5">
        <v>5273900</v>
      </c>
    </row>
    <row r="153" spans="2:11" x14ac:dyDescent="0.2">
      <c r="B153" s="21" t="s">
        <v>46</v>
      </c>
      <c r="C153" s="21" t="s">
        <v>65</v>
      </c>
      <c r="D153" s="29">
        <f>SUM(D151:D152)</f>
        <v>-2653002</v>
      </c>
      <c r="E153" s="29">
        <f t="shared" ref="E153:K153" si="218">SUM(E151:E152)</f>
        <v>-3957177</v>
      </c>
      <c r="F153" s="29">
        <f t="shared" si="218"/>
        <v>-3182876</v>
      </c>
      <c r="G153" s="29">
        <f t="shared" si="218"/>
        <v>-2469107.8300000005</v>
      </c>
      <c r="H153" s="29">
        <f t="shared" si="218"/>
        <v>-3570118</v>
      </c>
      <c r="I153" s="29">
        <f t="shared" si="218"/>
        <v>-3611790</v>
      </c>
      <c r="J153" s="29">
        <f t="shared" si="218"/>
        <v>-2935834.8348371079</v>
      </c>
      <c r="K153" s="29">
        <f t="shared" si="218"/>
        <v>-4428757.07</v>
      </c>
    </row>
    <row r="154" spans="2:11" x14ac:dyDescent="0.2">
      <c r="B154" s="1" t="s">
        <v>47</v>
      </c>
      <c r="C154" s="1" t="s">
        <v>10</v>
      </c>
      <c r="D154" s="2">
        <v>-366457</v>
      </c>
      <c r="E154" s="2">
        <v>-328708</v>
      </c>
      <c r="F154" s="2">
        <v>-353188</v>
      </c>
      <c r="G154" s="2">
        <v>-106219.21999999999</v>
      </c>
      <c r="H154" s="2">
        <v>-433275</v>
      </c>
      <c r="I154" s="2">
        <v>-410766</v>
      </c>
      <c r="J154" s="2">
        <v>-219333.8</v>
      </c>
      <c r="K154" s="2">
        <v>-435525.9</v>
      </c>
    </row>
    <row r="155" spans="2:11" x14ac:dyDescent="0.2">
      <c r="B155" s="4"/>
      <c r="C155" s="4" t="s">
        <v>11</v>
      </c>
      <c r="D155" s="5">
        <v>137587</v>
      </c>
      <c r="E155" s="5">
        <v>77402</v>
      </c>
      <c r="F155" s="5">
        <v>104665</v>
      </c>
      <c r="G155" s="5">
        <v>19301.080000000002</v>
      </c>
      <c r="H155" s="5">
        <v>72683</v>
      </c>
      <c r="I155" s="5">
        <v>68395</v>
      </c>
      <c r="J155" s="5">
        <v>32935.78</v>
      </c>
      <c r="K155" s="5">
        <v>53388.2</v>
      </c>
    </row>
    <row r="156" spans="2:11" x14ac:dyDescent="0.2">
      <c r="B156" s="21" t="s">
        <v>47</v>
      </c>
      <c r="C156" s="21" t="s">
        <v>65</v>
      </c>
      <c r="D156" s="29">
        <f>SUM(D154:D155)</f>
        <v>-228870</v>
      </c>
      <c r="E156" s="29">
        <f t="shared" ref="E156:K156" si="219">SUM(E154:E155)</f>
        <v>-251306</v>
      </c>
      <c r="F156" s="29">
        <f t="shared" si="219"/>
        <v>-248523</v>
      </c>
      <c r="G156" s="29">
        <f t="shared" si="219"/>
        <v>-86918.139999999985</v>
      </c>
      <c r="H156" s="29">
        <f t="shared" si="219"/>
        <v>-360592</v>
      </c>
      <c r="I156" s="29">
        <f t="shared" si="219"/>
        <v>-342371</v>
      </c>
      <c r="J156" s="29">
        <f t="shared" si="219"/>
        <v>-186398.02</v>
      </c>
      <c r="K156" s="29">
        <f t="shared" si="219"/>
        <v>-382137.7</v>
      </c>
    </row>
    <row r="157" spans="2:11" x14ac:dyDescent="0.2">
      <c r="B157" s="16" t="s">
        <v>45</v>
      </c>
      <c r="C157" s="16" t="s">
        <v>65</v>
      </c>
      <c r="D157" s="17">
        <f>SUM(D156,D153)</f>
        <v>-2881872</v>
      </c>
      <c r="E157" s="17">
        <f t="shared" ref="E157:K157" si="220">SUM(E156,E153)</f>
        <v>-4208483</v>
      </c>
      <c r="F157" s="17">
        <f t="shared" si="220"/>
        <v>-3431399</v>
      </c>
      <c r="G157" s="17">
        <f t="shared" si="220"/>
        <v>-2556025.9700000007</v>
      </c>
      <c r="H157" s="17">
        <f t="shared" si="220"/>
        <v>-3930710</v>
      </c>
      <c r="I157" s="17">
        <f t="shared" si="220"/>
        <v>-3954161</v>
      </c>
      <c r="J157" s="17">
        <f t="shared" si="220"/>
        <v>-3122232.8548371079</v>
      </c>
      <c r="K157" s="17">
        <f t="shared" si="220"/>
        <v>-4810894.7700000005</v>
      </c>
    </row>
    <row r="158" spans="2:11" x14ac:dyDescent="0.2">
      <c r="C158" s="22" t="s">
        <v>72</v>
      </c>
      <c r="D158" s="18">
        <f>-D157/D$13</f>
        <v>2.2109024919696255E-2</v>
      </c>
      <c r="E158" s="18">
        <f t="shared" ref="E158:K158" si="221">-E157/E$13</f>
        <v>3.0798133580925421E-2</v>
      </c>
      <c r="F158" s="18">
        <f t="shared" si="221"/>
        <v>2.4363112351376646E-2</v>
      </c>
      <c r="G158" s="18">
        <f t="shared" si="221"/>
        <v>1.8304274624646396E-2</v>
      </c>
      <c r="H158" s="18">
        <f t="shared" si="221"/>
        <v>2.6255457301512419E-2</v>
      </c>
      <c r="I158" s="18">
        <f t="shared" si="221"/>
        <v>2.7343133698137016E-2</v>
      </c>
      <c r="J158" s="18">
        <f t="shared" si="221"/>
        <v>2.2126707865891587E-2</v>
      </c>
      <c r="K158" s="18">
        <f t="shared" si="221"/>
        <v>3.042301022247948E-2</v>
      </c>
    </row>
    <row r="159" spans="2:11" x14ac:dyDescent="0.2">
      <c r="C159" s="22" t="s">
        <v>73</v>
      </c>
      <c r="D159" s="19">
        <f t="shared" ref="D159" si="222">D158*D$2</f>
        <v>9.0425911921557685</v>
      </c>
      <c r="E159" s="19">
        <f t="shared" ref="E159" si="223">E158*E$2</f>
        <v>12.935216103988676</v>
      </c>
      <c r="F159" s="19">
        <f t="shared" ref="F159" si="224">F158*F$2</f>
        <v>10.646680097551593</v>
      </c>
      <c r="G159" s="19">
        <f t="shared" ref="G159" si="225">G158*G$2</f>
        <v>8.3192928169017861</v>
      </c>
      <c r="H159" s="19">
        <f t="shared" ref="H159" si="226">H158*H$2</f>
        <v>11.933105343537393</v>
      </c>
      <c r="I159" s="19">
        <f t="shared" ref="I159" si="227">I158*I$2</f>
        <v>12.427454265803274</v>
      </c>
      <c r="J159" s="19">
        <f t="shared" ref="J159" si="228">J158*J$2</f>
        <v>10.056588725047726</v>
      </c>
      <c r="K159" s="19">
        <f>K158*K$2</f>
        <v>15.120236080572301</v>
      </c>
    </row>
    <row r="161" spans="2:11" x14ac:dyDescent="0.2">
      <c r="B161" s="16" t="s">
        <v>48</v>
      </c>
    </row>
    <row r="162" spans="2:11" x14ac:dyDescent="0.2">
      <c r="B162" s="4" t="s">
        <v>49</v>
      </c>
      <c r="C162" s="4" t="s">
        <v>10</v>
      </c>
      <c r="D162" s="5">
        <v>-3437465</v>
      </c>
      <c r="E162" s="5">
        <v>-3870078</v>
      </c>
      <c r="F162" s="5">
        <v>-4004507</v>
      </c>
      <c r="G162" s="5">
        <v>-3293549.2700000014</v>
      </c>
      <c r="H162" s="5">
        <v>-4110163</v>
      </c>
      <c r="I162" s="5">
        <v>-4010186</v>
      </c>
      <c r="J162" s="5">
        <v>-3488864.8819157365</v>
      </c>
      <c r="K162" s="5">
        <v>-4428002.6599999992</v>
      </c>
    </row>
    <row r="163" spans="2:11" x14ac:dyDescent="0.2">
      <c r="B163" s="16" t="s">
        <v>48</v>
      </c>
      <c r="C163" s="16" t="s">
        <v>65</v>
      </c>
      <c r="D163" s="17">
        <f>SUM(D162)</f>
        <v>-3437465</v>
      </c>
      <c r="E163" s="17">
        <f t="shared" ref="E163:K163" si="229">SUM(E162)</f>
        <v>-3870078</v>
      </c>
      <c r="F163" s="17">
        <f t="shared" si="229"/>
        <v>-4004507</v>
      </c>
      <c r="G163" s="17">
        <f t="shared" si="229"/>
        <v>-3293549.2700000014</v>
      </c>
      <c r="H163" s="17">
        <f t="shared" si="229"/>
        <v>-4110163</v>
      </c>
      <c r="I163" s="17">
        <f t="shared" si="229"/>
        <v>-4010186</v>
      </c>
      <c r="J163" s="17">
        <f t="shared" si="229"/>
        <v>-3488864.8819157365</v>
      </c>
      <c r="K163" s="17">
        <f t="shared" si="229"/>
        <v>-4428002.6599999992</v>
      </c>
    </row>
    <row r="164" spans="2:11" x14ac:dyDescent="0.2">
      <c r="C164" s="22" t="s">
        <v>72</v>
      </c>
      <c r="D164" s="18">
        <f>-D163/D$13</f>
        <v>2.6371400029419657E-2</v>
      </c>
      <c r="E164" s="18">
        <f t="shared" ref="E164:K164" si="230">-E163/E$13</f>
        <v>2.8321649205331399E-2</v>
      </c>
      <c r="F164" s="18">
        <f t="shared" si="230"/>
        <v>2.8432209123122738E-2</v>
      </c>
      <c r="G164" s="18">
        <f t="shared" si="230"/>
        <v>2.3585844211075707E-2</v>
      </c>
      <c r="H164" s="18">
        <f t="shared" si="230"/>
        <v>2.7454126391607669E-2</v>
      </c>
      <c r="I164" s="18">
        <f t="shared" si="230"/>
        <v>2.7730548137113606E-2</v>
      </c>
      <c r="J164" s="18">
        <f t="shared" si="230"/>
        <v>2.4724963708622993E-2</v>
      </c>
      <c r="K164" s="18">
        <f t="shared" si="230"/>
        <v>2.8001687135290696E-2</v>
      </c>
    </row>
    <row r="165" spans="2:11" x14ac:dyDescent="0.2">
      <c r="C165" s="22" t="s">
        <v>73</v>
      </c>
      <c r="D165" s="19">
        <f t="shared" ref="D165" si="231">D164*D$2</f>
        <v>10.78590261203264</v>
      </c>
      <c r="E165" s="19">
        <f t="shared" ref="E165" si="232">E164*E$2</f>
        <v>11.895092666239188</v>
      </c>
      <c r="F165" s="19">
        <f t="shared" ref="F165" si="233">F164*F$2</f>
        <v>12.424875386804636</v>
      </c>
      <c r="G165" s="19">
        <f t="shared" ref="G165" si="234">G164*G$2</f>
        <v>10.719766193933909</v>
      </c>
      <c r="H165" s="19">
        <f t="shared" ref="H165" si="235">H164*H$2</f>
        <v>12.477900444985686</v>
      </c>
      <c r="I165" s="19">
        <f t="shared" ref="I165" si="236">I164*I$2</f>
        <v>12.603534128318135</v>
      </c>
      <c r="J165" s="19">
        <f t="shared" ref="J165" si="237">J164*J$2</f>
        <v>11.237496005569151</v>
      </c>
      <c r="K165" s="19">
        <f>K164*K$2</f>
        <v>13.916838506239475</v>
      </c>
    </row>
    <row r="167" spans="2:11" x14ac:dyDescent="0.2">
      <c r="B167" s="16" t="s">
        <v>50</v>
      </c>
    </row>
    <row r="168" spans="2:11" x14ac:dyDescent="0.2">
      <c r="B168" s="1" t="s">
        <v>51</v>
      </c>
      <c r="C168" s="1" t="s">
        <v>10</v>
      </c>
      <c r="D168" s="2">
        <v>-650151</v>
      </c>
      <c r="E168" s="2">
        <v>-697872</v>
      </c>
      <c r="F168" s="2">
        <v>-724494</v>
      </c>
      <c r="G168" s="2">
        <v>-586024.4600000002</v>
      </c>
      <c r="H168" s="2">
        <v>-787520</v>
      </c>
      <c r="I168" s="2">
        <v>-711164</v>
      </c>
      <c r="J168" s="2">
        <v>-701982.31781599612</v>
      </c>
      <c r="K168" s="2">
        <v>-819901.37000000011</v>
      </c>
    </row>
    <row r="169" spans="2:11" x14ac:dyDescent="0.2">
      <c r="B169" s="1" t="s">
        <v>68</v>
      </c>
      <c r="C169" s="1" t="s">
        <v>10</v>
      </c>
      <c r="D169" s="2">
        <v>-474624</v>
      </c>
      <c r="E169" s="2">
        <v>-473420</v>
      </c>
      <c r="F169" s="2">
        <v>-480826</v>
      </c>
      <c r="G169" s="2">
        <v>-367686.08999999997</v>
      </c>
      <c r="H169" s="2">
        <v>-549946</v>
      </c>
      <c r="I169" s="2">
        <v>-575239</v>
      </c>
      <c r="J169" s="2">
        <v>-469427.31458431156</v>
      </c>
      <c r="K169" s="2">
        <v>-820513.11000000022</v>
      </c>
    </row>
    <row r="170" spans="2:11" x14ac:dyDescent="0.2">
      <c r="B170" s="4"/>
      <c r="C170" s="4" t="s">
        <v>11</v>
      </c>
      <c r="D170" s="5">
        <v>80504</v>
      </c>
      <c r="E170" s="5">
        <v>52567</v>
      </c>
      <c r="F170" s="5">
        <v>38287</v>
      </c>
      <c r="G170" s="5">
        <v>22436.22</v>
      </c>
      <c r="H170" s="5">
        <v>49600</v>
      </c>
      <c r="I170" s="5">
        <v>29000</v>
      </c>
      <c r="J170" s="5">
        <v>29694.489999999998</v>
      </c>
      <c r="K170" s="5">
        <v>34760</v>
      </c>
    </row>
    <row r="171" spans="2:11" x14ac:dyDescent="0.2">
      <c r="B171" s="21" t="s">
        <v>68</v>
      </c>
      <c r="C171" s="21" t="s">
        <v>65</v>
      </c>
      <c r="D171" s="29">
        <f>SUM(D169:D170)</f>
        <v>-394120</v>
      </c>
      <c r="E171" s="29">
        <f t="shared" ref="E171:K171" si="238">SUM(E169:E170)</f>
        <v>-420853</v>
      </c>
      <c r="F171" s="29">
        <f t="shared" si="238"/>
        <v>-442539</v>
      </c>
      <c r="G171" s="29">
        <f t="shared" si="238"/>
        <v>-345249.87</v>
      </c>
      <c r="H171" s="29">
        <f t="shared" si="238"/>
        <v>-500346</v>
      </c>
      <c r="I171" s="29">
        <f t="shared" si="238"/>
        <v>-546239</v>
      </c>
      <c r="J171" s="29">
        <f t="shared" si="238"/>
        <v>-439732.82458431157</v>
      </c>
      <c r="K171" s="29">
        <f t="shared" si="238"/>
        <v>-785753.11000000022</v>
      </c>
    </row>
    <row r="172" spans="2:11" x14ac:dyDescent="0.2">
      <c r="B172" s="6" t="s">
        <v>53</v>
      </c>
      <c r="C172" s="6" t="s">
        <v>10</v>
      </c>
      <c r="D172" s="7">
        <v>-1076942</v>
      </c>
      <c r="E172" s="7">
        <v>-1088784</v>
      </c>
      <c r="F172" s="7">
        <v>-1123873</v>
      </c>
      <c r="G172" s="7">
        <v>-853998.3600000001</v>
      </c>
      <c r="H172" s="7">
        <v>-1104136</v>
      </c>
      <c r="I172" s="7">
        <v>-1522919</v>
      </c>
      <c r="J172" s="7">
        <v>-1240418.3266289728</v>
      </c>
      <c r="K172" s="7">
        <v>-2020684.9100000001</v>
      </c>
    </row>
    <row r="173" spans="2:11" x14ac:dyDescent="0.2">
      <c r="B173" s="1" t="s">
        <v>54</v>
      </c>
      <c r="C173" s="1" t="s">
        <v>10</v>
      </c>
      <c r="D173" s="2">
        <v>-2635231</v>
      </c>
      <c r="E173" s="2">
        <v>-2672226</v>
      </c>
      <c r="F173" s="2">
        <v>-2746229</v>
      </c>
      <c r="G173" s="2">
        <v>-2577153.5699999998</v>
      </c>
      <c r="H173" s="2">
        <v>-3175620</v>
      </c>
      <c r="I173" s="2">
        <v>-3020835</v>
      </c>
      <c r="J173" s="2">
        <v>-2811708.3680346278</v>
      </c>
      <c r="K173" s="2">
        <v>-3042469.1499999994</v>
      </c>
    </row>
    <row r="174" spans="2:11" x14ac:dyDescent="0.2">
      <c r="B174" s="4" t="s">
        <v>50</v>
      </c>
      <c r="C174" s="4" t="s">
        <v>10</v>
      </c>
      <c r="D174" s="5">
        <v>-1186393</v>
      </c>
      <c r="E174" s="5">
        <v>-1083674</v>
      </c>
      <c r="F174" s="5">
        <v>-1123608</v>
      </c>
      <c r="G174" s="5">
        <v>-1013529.9599999997</v>
      </c>
      <c r="H174" s="5">
        <v>-1153873</v>
      </c>
      <c r="I174" s="5">
        <v>-1118830</v>
      </c>
      <c r="J174" s="5">
        <v>-1013838.0411210434</v>
      </c>
      <c r="K174" s="5">
        <v>-1443277.6599999997</v>
      </c>
    </row>
    <row r="175" spans="2:11" x14ac:dyDescent="0.2">
      <c r="B175" s="16" t="s">
        <v>50</v>
      </c>
      <c r="C175" s="16" t="s">
        <v>65</v>
      </c>
      <c r="D175" s="17">
        <f>SUM(D168,D171:D174)</f>
        <v>-5942837</v>
      </c>
      <c r="E175" s="17">
        <f t="shared" ref="E175:K175" si="239">SUM(E168,E171:E174)</f>
        <v>-5963409</v>
      </c>
      <c r="F175" s="17">
        <f t="shared" si="239"/>
        <v>-6160743</v>
      </c>
      <c r="G175" s="17">
        <f t="shared" si="239"/>
        <v>-5375956.2199999997</v>
      </c>
      <c r="H175" s="17">
        <f t="shared" si="239"/>
        <v>-6721495</v>
      </c>
      <c r="I175" s="17">
        <f t="shared" si="239"/>
        <v>-6919987</v>
      </c>
      <c r="J175" s="17">
        <f t="shared" si="239"/>
        <v>-6207679.8781849518</v>
      </c>
      <c r="K175" s="17">
        <f t="shared" si="239"/>
        <v>-8112086.1999999993</v>
      </c>
    </row>
    <row r="176" spans="2:11" x14ac:dyDescent="0.2">
      <c r="C176" s="22" t="s">
        <v>72</v>
      </c>
      <c r="D176" s="18">
        <f>-D175/D$13</f>
        <v>4.559200801655762E-2</v>
      </c>
      <c r="E176" s="18">
        <f t="shared" ref="E176:K176" si="240">-E175/E$13</f>
        <v>4.3640871777239659E-2</v>
      </c>
      <c r="F176" s="18">
        <f t="shared" si="240"/>
        <v>4.3741597487484615E-2</v>
      </c>
      <c r="G176" s="18">
        <f t="shared" si="240"/>
        <v>3.8498426923634081E-2</v>
      </c>
      <c r="H176" s="18">
        <f t="shared" si="240"/>
        <v>4.489670440577636E-2</v>
      </c>
      <c r="I176" s="18">
        <f t="shared" si="240"/>
        <v>4.7851903281219473E-2</v>
      </c>
      <c r="J176" s="18">
        <f t="shared" si="240"/>
        <v>4.3992721099188475E-2</v>
      </c>
      <c r="K176" s="18">
        <f t="shared" si="240"/>
        <v>5.1298998042360981E-2</v>
      </c>
    </row>
    <row r="177" spans="2:11" x14ac:dyDescent="0.2">
      <c r="C177" s="22" t="s">
        <v>73</v>
      </c>
      <c r="D177" s="19">
        <f t="shared" ref="D177" si="241">D176*D$2</f>
        <v>18.647131278772065</v>
      </c>
      <c r="E177" s="19">
        <f t="shared" ref="E177" si="242">E176*E$2</f>
        <v>18.329166146440656</v>
      </c>
      <c r="F177" s="19">
        <f t="shared" ref="F177" si="243">F176*F$2</f>
        <v>19.115078102030775</v>
      </c>
      <c r="G177" s="19">
        <f t="shared" ref="G177" si="244">G176*G$2</f>
        <v>17.497535036791689</v>
      </c>
      <c r="H177" s="19">
        <f t="shared" ref="H177" si="245">H176*H$2</f>
        <v>20.405552152425354</v>
      </c>
      <c r="I177" s="19">
        <f t="shared" ref="I177" si="246">I176*I$2</f>
        <v>21.748690041314251</v>
      </c>
      <c r="J177" s="19">
        <f t="shared" ref="J177" si="247">J176*J$2</f>
        <v>19.99469173958116</v>
      </c>
      <c r="K177" s="19">
        <f>K176*K$2</f>
        <v>25.495602027053408</v>
      </c>
    </row>
    <row r="179" spans="2:11" x14ac:dyDescent="0.2">
      <c r="B179" s="14" t="s">
        <v>66</v>
      </c>
      <c r="C179" s="14"/>
      <c r="D179" s="15">
        <f t="shared" ref="D179:K179" si="248">SUM(D175,D163,D157,D146,D139,D120,D113,D102,D93,D86,D79,D68,D57,D50,D41,D29,D20,D13)</f>
        <v>7589017</v>
      </c>
      <c r="E179" s="15">
        <f t="shared" si="248"/>
        <v>6939784</v>
      </c>
      <c r="F179" s="15">
        <f t="shared" si="248"/>
        <v>-1344730</v>
      </c>
      <c r="G179" s="15">
        <f t="shared" si="248"/>
        <v>14360598.690000013</v>
      </c>
      <c r="H179" s="15">
        <f t="shared" si="248"/>
        <v>7095469</v>
      </c>
      <c r="I179" s="15">
        <f t="shared" si="248"/>
        <v>4966637</v>
      </c>
      <c r="J179" s="15">
        <f t="shared" si="248"/>
        <v>7994396.1358445734</v>
      </c>
      <c r="K179" s="15">
        <f t="shared" si="248"/>
        <v>4565070.8200000226</v>
      </c>
    </row>
    <row r="181" spans="2:11" x14ac:dyDescent="0.2">
      <c r="B181" s="16" t="s">
        <v>2</v>
      </c>
    </row>
    <row r="182" spans="2:11" x14ac:dyDescent="0.2">
      <c r="B182" s="1" t="s">
        <v>3</v>
      </c>
      <c r="C182" s="1" t="s">
        <v>10</v>
      </c>
      <c r="D182" s="2">
        <v>-44004107</v>
      </c>
      <c r="E182" s="2">
        <v>-44591495</v>
      </c>
      <c r="F182" s="2">
        <v>-46176486</v>
      </c>
      <c r="G182" s="2">
        <v>-25619952.47000001</v>
      </c>
      <c r="H182" s="2">
        <v>-47109765</v>
      </c>
      <c r="I182" s="2">
        <v>-42880369</v>
      </c>
      <c r="J182" s="2">
        <v>-26871922.261720918</v>
      </c>
      <c r="K182" s="2">
        <v>-48443859.820000038</v>
      </c>
    </row>
    <row r="183" spans="2:11" x14ac:dyDescent="0.2">
      <c r="B183" s="4"/>
      <c r="C183" s="4" t="s">
        <v>11</v>
      </c>
      <c r="D183" s="5">
        <v>38566648</v>
      </c>
      <c r="E183" s="5">
        <v>39999886</v>
      </c>
      <c r="F183" s="5">
        <v>41741122</v>
      </c>
      <c r="G183" s="5">
        <v>14944602.68</v>
      </c>
      <c r="H183" s="5">
        <v>43358456</v>
      </c>
      <c r="I183" s="5">
        <v>40799588</v>
      </c>
      <c r="J183" s="5">
        <v>21445823.017645504</v>
      </c>
      <c r="K183" s="5">
        <v>47044262.000000007</v>
      </c>
    </row>
    <row r="184" spans="2:11" x14ac:dyDescent="0.2">
      <c r="B184" s="21" t="s">
        <v>3</v>
      </c>
      <c r="C184" s="21" t="s">
        <v>65</v>
      </c>
      <c r="D184" s="29">
        <f>SUM(D182:D183)</f>
        <v>-5437459</v>
      </c>
      <c r="E184" s="29">
        <f t="shared" ref="E184:K184" si="249">SUM(E182:E183)</f>
        <v>-4591609</v>
      </c>
      <c r="F184" s="29">
        <f t="shared" si="249"/>
        <v>-4435364</v>
      </c>
      <c r="G184" s="29">
        <f t="shared" si="249"/>
        <v>-10675349.79000001</v>
      </c>
      <c r="H184" s="29">
        <f t="shared" si="249"/>
        <v>-3751309</v>
      </c>
      <c r="I184" s="29">
        <f t="shared" si="249"/>
        <v>-2080781</v>
      </c>
      <c r="J184" s="29">
        <f t="shared" si="249"/>
        <v>-5426099.2440754138</v>
      </c>
      <c r="K184" s="29">
        <f t="shared" si="249"/>
        <v>-1399597.8200000301</v>
      </c>
    </row>
    <row r="185" spans="2:11" s="6" customFormat="1" x14ac:dyDescent="0.2">
      <c r="C185" s="27" t="s">
        <v>59</v>
      </c>
      <c r="D185" s="28">
        <v>-1303900</v>
      </c>
      <c r="E185" s="28">
        <v>-1784323</v>
      </c>
      <c r="F185" s="28">
        <v>-2176566</v>
      </c>
      <c r="G185" s="28">
        <v>-1456853.0999999999</v>
      </c>
      <c r="H185" s="28">
        <v>-2551618</v>
      </c>
      <c r="I185" s="28">
        <v>-2368574</v>
      </c>
      <c r="J185" s="28">
        <v>-2041673.4033594371</v>
      </c>
      <c r="K185" s="28">
        <v>-2706936.96</v>
      </c>
    </row>
    <row r="186" spans="2:11" x14ac:dyDescent="0.2">
      <c r="C186" s="9" t="s">
        <v>60</v>
      </c>
      <c r="D186" s="10">
        <v>-710589</v>
      </c>
      <c r="E186" s="10">
        <v>-392293</v>
      </c>
      <c r="F186" s="10">
        <v>-383382</v>
      </c>
      <c r="G186" s="10">
        <v>-1718802.35</v>
      </c>
      <c r="H186" s="10">
        <v>-792456</v>
      </c>
      <c r="I186" s="10">
        <v>-517282</v>
      </c>
      <c r="J186" s="10">
        <v>-425277.07</v>
      </c>
      <c r="K186" s="10">
        <v>-458536.04000000004</v>
      </c>
    </row>
    <row r="187" spans="2:11" x14ac:dyDescent="0.2">
      <c r="B187" s="16" t="s">
        <v>2</v>
      </c>
      <c r="C187" s="16" t="s">
        <v>65</v>
      </c>
      <c r="D187" s="17">
        <f>SUM(D184:D186)</f>
        <v>-7451948</v>
      </c>
      <c r="E187" s="17">
        <f t="shared" ref="E187:K187" si="250">SUM(E184:E186)</f>
        <v>-6768225</v>
      </c>
      <c r="F187" s="17">
        <f t="shared" si="250"/>
        <v>-6995312</v>
      </c>
      <c r="G187" s="17">
        <f t="shared" si="250"/>
        <v>-13851005.24000001</v>
      </c>
      <c r="H187" s="17">
        <f t="shared" si="250"/>
        <v>-7095383</v>
      </c>
      <c r="I187" s="17">
        <f t="shared" si="250"/>
        <v>-4966637</v>
      </c>
      <c r="J187" s="17">
        <f t="shared" si="250"/>
        <v>-7893049.7174348515</v>
      </c>
      <c r="K187" s="17">
        <f t="shared" si="250"/>
        <v>-4565070.8200000301</v>
      </c>
    </row>
    <row r="188" spans="2:11" x14ac:dyDescent="0.2">
      <c r="C188" s="22" t="s">
        <v>72</v>
      </c>
      <c r="D188" s="18">
        <f t="shared" ref="D188" si="251">-D187/D$13-D190</f>
        <v>4.1714870240880469E-2</v>
      </c>
      <c r="E188" s="18">
        <f t="shared" ref="E188" si="252">-E187/E$13-E190</f>
        <v>3.360189106938994E-2</v>
      </c>
      <c r="F188" s="18">
        <f t="shared" ref="F188" si="253">-F187/F$13-F190</f>
        <v>3.1491316355588883E-2</v>
      </c>
      <c r="G188" s="18">
        <f t="shared" ref="G188" si="254">-G187/G$13-G190</f>
        <v>7.6448571557479653E-2</v>
      </c>
      <c r="H188" s="18">
        <f t="shared" ref="H188" si="255">-H187/H$13-H190</f>
        <v>2.5057135549119435E-2</v>
      </c>
      <c r="I188" s="18">
        <f t="shared" ref="I188" si="256">-I187/I$13-I190</f>
        <v>1.4388658701439631E-2</v>
      </c>
      <c r="J188" s="18">
        <f t="shared" ref="J188" si="257">-J187/J$13-J190</f>
        <v>3.8453798421532431E-2</v>
      </c>
      <c r="K188" s="18">
        <f>-K187/K$13-K190</f>
        <v>8.8507400017857583E-3</v>
      </c>
    </row>
    <row r="189" spans="2:11" x14ac:dyDescent="0.2">
      <c r="C189" s="22" t="s">
        <v>73</v>
      </c>
      <c r="D189" s="19">
        <f t="shared" ref="D189" si="258">D188*D$2</f>
        <v>17.061381928520113</v>
      </c>
      <c r="E189" s="19">
        <f t="shared" ref="E189" si="259">E188*E$2</f>
        <v>14.112794249143775</v>
      </c>
      <c r="F189" s="19">
        <f t="shared" ref="F189" si="260">F188*F$2</f>
        <v>13.761705247392342</v>
      </c>
      <c r="G189" s="19">
        <f t="shared" ref="G189" si="261">G188*G$2</f>
        <v>34.745875772874506</v>
      </c>
      <c r="H189" s="19">
        <f t="shared" ref="H189" si="262">H188*H$2</f>
        <v>11.388468107074782</v>
      </c>
      <c r="I189" s="19">
        <f t="shared" ref="I189" si="263">I188*I$2</f>
        <v>6.5396453798043117</v>
      </c>
      <c r="J189" s="19">
        <f t="shared" ref="J189" si="264">J188*J$2</f>
        <v>17.477251382586491</v>
      </c>
      <c r="K189" s="19">
        <f>K188*K$2</f>
        <v>4.398817780887522</v>
      </c>
    </row>
    <row r="190" spans="2:11" x14ac:dyDescent="0.2">
      <c r="C190" s="23" t="s">
        <v>72</v>
      </c>
      <c r="D190" s="24">
        <f>(-D186-D185)/D$13</f>
        <v>1.5454672345424776E-2</v>
      </c>
      <c r="E190" s="24">
        <f t="shared" ref="E190:K190" si="265">(-E186-E185)/E$13</f>
        <v>1.5928711206004531E-2</v>
      </c>
      <c r="F190" s="24">
        <f t="shared" si="265"/>
        <v>1.8175764677229884E-2</v>
      </c>
      <c r="G190" s="24">
        <f t="shared" si="265"/>
        <v>2.2741580153058858E-2</v>
      </c>
      <c r="H190" s="24">
        <f t="shared" si="265"/>
        <v>2.2336980372527567E-2</v>
      </c>
      <c r="I190" s="24">
        <f t="shared" si="265"/>
        <v>1.9955774800664638E-2</v>
      </c>
      <c r="J190" s="24">
        <f t="shared" si="265"/>
        <v>1.7482838398513698E-2</v>
      </c>
      <c r="K190" s="24">
        <f t="shared" si="265"/>
        <v>2.0017735170287831E-2</v>
      </c>
    </row>
    <row r="191" spans="2:11" x14ac:dyDescent="0.2">
      <c r="C191" s="25" t="s">
        <v>73</v>
      </c>
      <c r="D191" s="26">
        <f t="shared" ref="D191" si="266">D190*D$2</f>
        <v>6.320960989278734</v>
      </c>
      <c r="E191" s="26">
        <f t="shared" ref="E191" si="267">E190*E$2</f>
        <v>6.6900587065219028</v>
      </c>
      <c r="F191" s="26">
        <f t="shared" ref="F191" si="268">F190*F$2</f>
        <v>7.9428091639494589</v>
      </c>
      <c r="G191" s="26">
        <f t="shared" ref="G191" si="269">G190*G$2</f>
        <v>10.336048179565251</v>
      </c>
      <c r="H191" s="26">
        <f t="shared" ref="H191" si="270">H190*H$2</f>
        <v>10.15215757931378</v>
      </c>
      <c r="I191" s="26">
        <f t="shared" ref="I191" si="271">I190*I$2</f>
        <v>9.0698996469020781</v>
      </c>
      <c r="J191" s="26">
        <f t="shared" ref="J191" si="272">J190*J$2</f>
        <v>7.9459500521244761</v>
      </c>
      <c r="K191" s="26">
        <f>K190*K$2</f>
        <v>9.9488143796330526</v>
      </c>
    </row>
    <row r="192" spans="2:11" x14ac:dyDescent="0.2">
      <c r="K192" s="2"/>
    </row>
    <row r="193" spans="2:11" x14ac:dyDescent="0.2">
      <c r="B193" s="14" t="s">
        <v>78</v>
      </c>
      <c r="C193" s="14"/>
      <c r="D193" s="15">
        <f t="shared" ref="D193:K193" si="273">SUM(D179,D187)</f>
        <v>137069</v>
      </c>
      <c r="E193" s="15">
        <f t="shared" si="273"/>
        <v>171559</v>
      </c>
      <c r="F193" s="15">
        <f t="shared" si="273"/>
        <v>-8340042</v>
      </c>
      <c r="G193" s="15">
        <f t="shared" si="273"/>
        <v>509593.45000000298</v>
      </c>
      <c r="H193" s="15">
        <f t="shared" si="273"/>
        <v>86</v>
      </c>
      <c r="I193" s="15">
        <f t="shared" si="273"/>
        <v>0</v>
      </c>
      <c r="J193" s="15">
        <f t="shared" si="273"/>
        <v>101346.41840972193</v>
      </c>
      <c r="K193" s="15">
        <f t="shared" si="273"/>
        <v>-7.4505805969238281E-9</v>
      </c>
    </row>
    <row r="194" spans="2:11" x14ac:dyDescent="0.2">
      <c r="D194" s="30">
        <f>-D193/D$13</f>
        <v>-1.0515602138880026E-3</v>
      </c>
      <c r="E194" s="30">
        <f t="shared" ref="E194:K194" si="274">-E193/E$13</f>
        <v>-1.2554873095626106E-3</v>
      </c>
      <c r="F194" s="30">
        <f t="shared" si="274"/>
        <v>5.9214734357968861E-2</v>
      </c>
      <c r="G194" s="30">
        <f t="shared" si="274"/>
        <v>-3.6493128650492796E-3</v>
      </c>
      <c r="H194" s="30">
        <f t="shared" si="274"/>
        <v>-5.7444312298034397E-7</v>
      </c>
      <c r="I194" s="30">
        <f t="shared" si="274"/>
        <v>0</v>
      </c>
      <c r="J194" s="30">
        <f t="shared" si="274"/>
        <v>-7.1822400751827566E-4</v>
      </c>
      <c r="K194" s="30">
        <f t="shared" si="274"/>
        <v>4.7115786251882804E-17</v>
      </c>
    </row>
    <row r="196" spans="2:11" x14ac:dyDescent="0.2">
      <c r="B196" s="13" t="s">
        <v>76</v>
      </c>
      <c r="C196" s="13"/>
      <c r="D196" s="31">
        <f t="shared" ref="D196:K196" si="275">SUM(D190,D188,D176,D164,D158,D147,D140,D123,D121,D114,D103,D96,D94,D87,D80,D69,D58,D51,D44,D42,D30,D23,D21)-D194</f>
        <v>1.0000000000000002</v>
      </c>
      <c r="E196" s="31">
        <f t="shared" si="275"/>
        <v>1.0000000000000002</v>
      </c>
      <c r="F196" s="31">
        <f t="shared" si="275"/>
        <v>0.99999999999999989</v>
      </c>
      <c r="G196" s="31">
        <f t="shared" si="275"/>
        <v>1</v>
      </c>
      <c r="H196" s="31">
        <f t="shared" si="275"/>
        <v>1.0000000000000002</v>
      </c>
      <c r="I196" s="31">
        <f t="shared" si="275"/>
        <v>1</v>
      </c>
      <c r="J196" s="31">
        <f t="shared" si="275"/>
        <v>0.99999999999999989</v>
      </c>
      <c r="K196" s="31">
        <f t="shared" si="275"/>
        <v>1.0000000000000002</v>
      </c>
    </row>
  </sheetData>
  <pageMargins left="0.51181102362204722" right="0.51181102362204722" top="0.78740157480314965" bottom="0.78740157480314965" header="0.31496062992125984" footer="0.31496062992125984"/>
  <pageSetup paperSize="9" scale="7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Resumo geral e gráfico</vt:lpstr>
      <vt:lpstr>Detalhado</vt:lpstr>
      <vt:lpstr>Detalhado!Titulos_de_impressao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Miziara Pereira</dc:creator>
  <cp:lastModifiedBy>Danilo Miziara Pereira</cp:lastModifiedBy>
  <cp:lastPrinted>2021-10-08T14:30:21Z</cp:lastPrinted>
  <dcterms:created xsi:type="dcterms:W3CDTF">2021-08-27T18:13:34Z</dcterms:created>
  <dcterms:modified xsi:type="dcterms:W3CDTF">2021-10-08T14:31:56Z</dcterms:modified>
</cp:coreProperties>
</file>